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firstSheet="1" activeTab="1"/>
  </bookViews>
  <sheets>
    <sheet name="MODIFY DT 21-11-2014" sheetId="1" r:id="rId1"/>
    <sheet name="DT 28-10-2015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<sst xmlns="http://schemas.openxmlformats.org/spreadsheetml/2006/main" count="267" uniqueCount="67">
  <si>
    <t>As per MPR</t>
  </si>
  <si>
    <t>As per OMMAS</t>
  </si>
  <si>
    <t>Differnce</t>
  </si>
  <si>
    <t xml:space="preserve">District </t>
  </si>
  <si>
    <t>No of Completed Roads</t>
  </si>
  <si>
    <t>Length Completed</t>
  </si>
  <si>
    <t>Expenditure</t>
  </si>
  <si>
    <t>PHONE</t>
  </si>
  <si>
    <t>Alirajpur</t>
  </si>
  <si>
    <t>Anuppur</t>
  </si>
  <si>
    <t>Ashok 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</si>
  <si>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</si>
  <si>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</si>
  <si>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</si>
  <si>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</si>
  <si>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</si>
  <si>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</si>
  <si>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</si>
  <si>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</si>
  <si>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</si>
  <si>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</si>
  <si>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</si>
  <si>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</si>
  <si>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</si>
  <si>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</si>
  <si>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</si>
  <si>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</si>
  <si>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</si>
  <si>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</si>
  <si>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</si>
  <si>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</si>
  <si>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</si>
  <si>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</si>
  <si>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</si>
  <si>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</si>
  <si>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Mandsour</t>
  </si>
  <si>
    <t>Morena</t>
  </si>
  <si>
    <t>Narsighpur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</si>
  <si>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</si>
  <si>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</si>
  <si>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</si>
  <si>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</si>
  <si>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</si>
  <si>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</si>
  <si>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</si>
  <si>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</si>
  <si>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</si>
  <si>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</si>
  <si>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Seopur</t>
  </si>
  <si>
    <t>Shahdol</t>
  </si>
  <si>
    <t>Shajapur</t>
  </si>
  <si>
    <t>Shivpuri</t>
  </si>
  <si>
    <t>Sidhi</t>
  </si>
  <si>
    <t>Singrauli</t>
  </si>
  <si>
    <t>Tikamgarh</t>
  </si>
  <si>
    <t>Ujjain</t>
  </si>
  <si>
    <t>Umria</t>
  </si>
  <si>
    <t>Vidisha</t>
  </si>
  <si>
    <t>Total</t>
  </si>
  <si>
    <t>NO</t>
  </si>
  <si>
    <t>MPR Road Length completed with BT</t>
  </si>
  <si>
    <t>s.no</t>
  </si>
  <si>
    <t>District Name</t>
  </si>
  <si>
    <t>No. of Roads</t>
  </si>
  <si>
    <t>Total Road Length</t>
  </si>
  <si>
    <t>Progress up to Sep'2015</t>
  </si>
  <si>
    <t>Length in KM and Expenditure in Lakhs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</si>
</sst>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rebuchet MS"/>
      <family val="2"/>
    </font>
    <font>
      <sz val="10"/>
      <color indexed="56"/>
      <name val="Trebuchet MS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 readingOrder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5" borderId="7" xfId="0" applyNumberFormat="1" applyFont="1" applyFill="1" applyBorder="1" applyAlignment="1">
      <alignment horizontal="center" vertical="top" wrapText="1" readingOrder="1"/>
    </xf>
    <xf numFmtId="0" fontId="5" fillId="25" borderId="7" xfId="0" applyNumberFormat="1" applyFont="1" applyFill="1" applyBorder="1" applyAlignment="1">
      <alignment vertical="top" wrapText="1" readingOrder="1"/>
    </xf>
    <xf numFmtId="3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48.222.20/ReportServer?%2FPMGSYCitizen%2FUspPropPhysicalProgressofWorks&amp;Level=3&amp;State=20&amp;District=10&amp;Block=0&amp;Batch=0&amp;Year=0&amp;Collaboration=2&amp;PMGSY=1&amp;LocationName=Madhya%20Pradesh&amp;DistrictName=Alirajpur&amp;BlockName=All%20Blocks&amp;LocalizationValue=en&amp;BatchName=All%20Batches&amp;CollaborationName=Regular%20PMGSY&amp;rs%3AParameterLanguage=" TargetMode="External" /><Relationship Id="rId2" Type="http://schemas.openxmlformats.org/officeDocument/2006/relationships/hyperlink" Target="http://10.248.222.20/ReportServer?%2FPMGSYCitizen%2FUspPropPhysicalProgressofWorks&amp;Level=3&amp;State=20&amp;District=25&amp;Block=0&amp;Batch=0&amp;Year=0&amp;Collaboration=2&amp;PMGSY=1&amp;LocationName=Madhya%20Pradesh&amp;DistrictName=Anuppur&amp;BlockName=All%20Blocks&amp;LocalizationValue=en&amp;BatchName=All%20Batches&amp;CollaborationName=Regular%20PMGSY&amp;rs%3AParameterLanguage=" TargetMode="External" /><Relationship Id="rId3" Type="http://schemas.openxmlformats.org/officeDocument/2006/relationships/hyperlink" Target="http://10.248.222.20/ReportServer?%2FPMGSYCitizen%2FUspPropPhysicalProgressofWorks&amp;Level=3&amp;State=20&amp;District=29&amp;Block=0&amp;Batch=0&amp;Year=0&amp;Collaboration=2&amp;PMGSY=1&amp;LocationName=Madhya%20Pradesh&amp;DistrictName=Ashok%20Nagar&amp;BlockName=All%20Blocks&amp;LocalizationValue=en&amp;BatchName=All%20Batches&amp;CollaborationName=Regular%20PMGSY&amp;rs%3AParameterLanguage=" TargetMode="External" /><Relationship Id="rId4" Type="http://schemas.openxmlformats.org/officeDocument/2006/relationships/hyperlink" Target="http://10.248.222.20/ReportServer?%2FPMGSYCitizen%2FUspPropPhysicalProgressofWorks&amp;Level=3&amp;State=20&amp;District=39&amp;Block=0&amp;Batch=0&amp;Year=0&amp;Collaboration=2&amp;PMGSY=1&amp;LocationName=Madhya%20Pradesh&amp;DistrictName=Balaghat&amp;BlockName=All%20Blocks&amp;LocalizationValue=en&amp;BatchName=All%20Batches&amp;CollaborationName=Regular%20PMGSY&amp;rs%3AParameterLanguage=" TargetMode="External" /><Relationship Id="rId5" Type="http://schemas.openxmlformats.org/officeDocument/2006/relationships/hyperlink" Target="http://10.248.222.20/ReportServer?%2FPMGSYCitizen%2FUspPropPhysicalProgressofWorks&amp;Level=3&amp;State=20&amp;District=57&amp;Block=0&amp;Batch=0&amp;Year=0&amp;Collaboration=2&amp;PMGSY=1&amp;LocationName=Madhya%20Pradesh&amp;DistrictName=Barwani&amp;BlockName=All%20Blocks&amp;LocalizationValue=en&amp;BatchName=All%20Batches&amp;CollaborationName=Regular%20PMGSY&amp;rs%3AParameterLanguage=" TargetMode="External" /><Relationship Id="rId6" Type="http://schemas.openxmlformats.org/officeDocument/2006/relationships/hyperlink" Target="http://10.248.222.20/ReportServer?%2FPMGSYCitizen%2FUspPropPhysicalProgressofWorks&amp;Level=3&amp;State=20&amp;District=65&amp;Block=0&amp;Batch=0&amp;Year=0&amp;Collaboration=2&amp;PMGSY=1&amp;LocationName=Madhya%20Pradesh&amp;DistrictName=Betul&amp;BlockName=All%20Blocks&amp;LocalizationValue=en&amp;BatchName=All%20Batches&amp;CollaborationName=Regular%20PMGSY&amp;rs%3AParameterLanguage=" TargetMode="External" /><Relationship Id="rId7" Type="http://schemas.openxmlformats.org/officeDocument/2006/relationships/hyperlink" Target="http://10.248.222.20/ReportServer?%2FPMGSYCitizen%2FUspPropPhysicalProgressofWorks&amp;Level=3&amp;State=20&amp;District=73&amp;Block=0&amp;Batch=0&amp;Year=0&amp;Collaboration=2&amp;PMGSY=1&amp;LocationName=Madhya%20Pradesh&amp;DistrictName=Bhind&amp;BlockName=All%20Blocks&amp;LocalizationValue=en&amp;BatchName=All%20Batches&amp;CollaborationName=Regular%20PMGSY&amp;rs%3AParameterLanguage=" TargetMode="External" /><Relationship Id="rId8" Type="http://schemas.openxmlformats.org/officeDocument/2006/relationships/hyperlink" Target="http://10.248.222.20/ReportServer?%2FPMGSYCitizen%2FUspPropPhysicalProgressofWorks&amp;Level=3&amp;State=20&amp;District=76&amp;Block=0&amp;Batch=0&amp;Year=0&amp;Collaboration=2&amp;PMGSY=1&amp;LocationName=Madhya%20Pradesh&amp;DistrictName=Bhopal&amp;BlockName=All%20Blocks&amp;LocalizationValue=en&amp;BatchName=All%20Batches&amp;CollaborationName=Regular%20PMGSY&amp;rs%3AParameterLanguage=" TargetMode="External" /><Relationship Id="rId9" Type="http://schemas.openxmlformats.org/officeDocument/2006/relationships/hyperlink" Target="http://10.248.222.20/ReportServer?%2FPMGSYCitizen%2FUspPropPhysicalProgressofWorks&amp;Level=3&amp;State=20&amp;District=95&amp;Block=0&amp;Batch=0&amp;Year=0&amp;Collaboration=2&amp;PMGSY=1&amp;LocationName=Madhya%20Pradesh&amp;DistrictName=Burhanpur&amp;BlockName=All%20Blocks&amp;LocalizationValue=en&amp;BatchName=All%20Batches&amp;CollaborationName=Regular%20PMGSY&amp;rs%3AParameterLanguage=" TargetMode="External" /><Relationship Id="rId10" Type="http://schemas.openxmlformats.org/officeDocument/2006/relationships/hyperlink" Target="http://10.248.222.20/ReportServer?%2FPMGSYCitizen%2FUspPropPhysicalProgressofWorks&amp;Level=3&amp;State=20&amp;District=109&amp;Block=0&amp;Batch=0&amp;Year=0&amp;Collaboration=2&amp;PMGSY=1&amp;LocationName=Madhya%20Pradesh&amp;DistrictName=Chhatarpur&amp;BlockName=All%20Blocks&amp;LocalizationValue=en&amp;BatchName=All%20Batches&amp;CollaborationName=Regular%20PMGSY&amp;rs%3AParameterLanguage=" TargetMode="External" /><Relationship Id="rId11" Type="http://schemas.openxmlformats.org/officeDocument/2006/relationships/hyperlink" Target="http://10.248.222.20/ReportServer?%2FPMGSYCitizen%2FUspPropPhysicalProgressofWorks&amp;Level=3&amp;State=20&amp;District=110&amp;Block=0&amp;Batch=0&amp;Year=0&amp;Collaboration=2&amp;PMGSY=1&amp;LocationName=Madhya%20Pradesh&amp;DistrictName=Chhindwara&amp;BlockName=All%20Blocks&amp;LocalizationValue=en&amp;BatchName=All%20Batches&amp;CollaborationName=Regular%20PMGSY&amp;rs%3AParameterLanguage=" TargetMode="External" /><Relationship Id="rId12" Type="http://schemas.openxmlformats.org/officeDocument/2006/relationships/hyperlink" Target="http://10.248.222.20/ReportServer?%2FPMGSYCitizen%2FUspPropPhysicalProgressofWorks&amp;Level=3&amp;State=20&amp;District=129&amp;Block=0&amp;Batch=0&amp;Year=0&amp;Collaboration=2&amp;PMGSY=1&amp;LocationName=Madhya%20Pradesh&amp;DistrictName=Damoh&amp;BlockName=All%20Blocks&amp;LocalizationValue=en&amp;BatchName=All%20Batches&amp;CollaborationName=Regular%20PMGSY&amp;rs%3AParameterLanguage=" TargetMode="External" /><Relationship Id="rId13" Type="http://schemas.openxmlformats.org/officeDocument/2006/relationships/hyperlink" Target="http://10.248.222.20/ReportServer?%2FPMGSYCitizen%2FUspPropPhysicalProgressofWorks&amp;Level=3&amp;State=20&amp;District=135&amp;Block=0&amp;Batch=0&amp;Year=0&amp;Collaboration=2&amp;PMGSY=1&amp;LocationName=Madhya%20Pradesh&amp;DistrictName=Datia&amp;BlockName=All%20Blocks&amp;LocalizationValue=en&amp;BatchName=All%20Batches&amp;CollaborationName=Regular%20PMGSY&amp;rs%3AParameterLanguage=" TargetMode="External" /><Relationship Id="rId14" Type="http://schemas.openxmlformats.org/officeDocument/2006/relationships/hyperlink" Target="http://10.248.222.20/ReportServer?%2FPMGSYCitizen%2FUspPropPhysicalProgressofWorks&amp;Level=3&amp;State=20&amp;District=143&amp;Block=0&amp;Batch=0&amp;Year=0&amp;Collaboration=2&amp;PMGSY=1&amp;LocationName=Madhya%20Pradesh&amp;DistrictName=Dewas&amp;BlockName=All%20Blocks&amp;LocalizationValue=en&amp;BatchName=All%20Batches&amp;CollaborationName=Regular%20PMGSY&amp;rs%3AParameterLanguage=" TargetMode="External" /><Relationship Id="rId15" Type="http://schemas.openxmlformats.org/officeDocument/2006/relationships/hyperlink" Target="http://10.248.222.20/ReportServer?%2FPMGSYCitizen%2FUspPropPhysicalProgressofWorks&amp;Level=3&amp;State=20&amp;District=147&amp;Block=0&amp;Batch=0&amp;Year=0&amp;Collaboration=2&amp;PMGSY=1&amp;LocationName=Madhya%20Pradesh&amp;DistrictName=Dhar&amp;BlockName=All%20Blocks&amp;LocalizationValue=en&amp;BatchName=All%20Batches&amp;CollaborationName=Regular%20PMGSY&amp;rs%3AParameterLanguage=" TargetMode="External" /><Relationship Id="rId16" Type="http://schemas.openxmlformats.org/officeDocument/2006/relationships/hyperlink" Target="http://10.248.222.20/ReportServer?%2FPMGSYCitizen%2FUspPropPhysicalProgressofWorks&amp;Level=3&amp;State=20&amp;District=159&amp;Block=0&amp;Batch=0&amp;Year=0&amp;Collaboration=2&amp;PMGSY=1&amp;LocationName=Madhya%20Pradesh&amp;DistrictName=Dindori&amp;BlockName=All%20Blocks&amp;LocalizationValue=en&amp;BatchName=All%20Batches&amp;CollaborationName=Regular%20PMGSY&amp;rs%3AParameterLanguage=" TargetMode="External" /><Relationship Id="rId17" Type="http://schemas.openxmlformats.org/officeDocument/2006/relationships/hyperlink" Target="http://10.248.222.20/ReportServer?%2FPMGSYCitizen%2FUspPropPhysicalProgressofWorks&amp;Level=3&amp;State=20&amp;District=205&amp;Block=0&amp;Batch=0&amp;Year=0&amp;Collaboration=2&amp;PMGSY=1&amp;LocationName=Madhya%20Pradesh&amp;DistrictName=Guna&amp;BlockName=All%20Blocks&amp;LocalizationValue=en&amp;BatchName=All%20Batches&amp;CollaborationName=Regular%20PMGSY&amp;rs%3AParameterLanguage=" TargetMode="External" /><Relationship Id="rId18" Type="http://schemas.openxmlformats.org/officeDocument/2006/relationships/hyperlink" Target="http://10.248.222.20/ReportServer?%2FPMGSYCitizen%2FUspPropPhysicalProgressofWorks&amp;Level=3&amp;State=20&amp;District=209&amp;Block=0&amp;Batch=0&amp;Year=0&amp;Collaboration=2&amp;PMGSY=1&amp;LocationName=Madhya%20Pradesh&amp;DistrictName=Gwalior&amp;BlockName=All%20Blocks&amp;LocalizationValue=en&amp;BatchName=All%20Batches&amp;CollaborationName=Regular%20PMGSY&amp;rs%3AParameterLanguage=" TargetMode="External" /><Relationship Id="rId19" Type="http://schemas.openxmlformats.org/officeDocument/2006/relationships/hyperlink" Target="http://10.248.222.20/ReportServer?%2FPMGSYCitizen%2FUspPropPhysicalProgressofWorks&amp;Level=3&amp;State=20&amp;District=214&amp;Block=0&amp;Batch=0&amp;Year=0&amp;Collaboration=2&amp;PMGSY=1&amp;LocationName=Madhya%20Pradesh&amp;DistrictName=Harda&amp;BlockName=All%20Blocks&amp;LocalizationValue=en&amp;BatchName=All%20Batches&amp;CollaborationName=Regular%20PMGSY&amp;rs%3AParameterLanguage=" TargetMode="External" /><Relationship Id="rId20" Type="http://schemas.openxmlformats.org/officeDocument/2006/relationships/hyperlink" Target="http://10.248.222.20/ReportServer?%2FPMGSYCitizen%2FUspPropPhysicalProgressofWorks&amp;Level=3&amp;State=20&amp;District=224&amp;Block=0&amp;Batch=0&amp;Year=0&amp;Collaboration=2&amp;PMGSY=1&amp;LocationName=Madhya%20Pradesh&amp;DistrictName=Hoshangabad&amp;BlockName=All%20Blocks&amp;LocalizationValue=en&amp;BatchName=All%20Batches&amp;CollaborationName=Regular%20PMGSY&amp;rs%3AParameterLanguage=" TargetMode="External" /><Relationship Id="rId21" Type="http://schemas.openxmlformats.org/officeDocument/2006/relationships/hyperlink" Target="http://10.248.222.20/ReportServer?%2FPMGSYCitizen%2FUspPropPhysicalProgressofWorks&amp;Level=3&amp;State=20&amp;District=231&amp;Block=0&amp;Batch=0&amp;Year=0&amp;Collaboration=2&amp;PMGSY=1&amp;LocationName=Madhya%20Pradesh&amp;DistrictName=Indore&amp;BlockName=All%20Blocks&amp;LocalizationValue=en&amp;BatchName=All%20Batches&amp;CollaborationName=Regular%20PMGSY&amp;rs%3AParameterLanguage=" TargetMode="External" /><Relationship Id="rId22" Type="http://schemas.openxmlformats.org/officeDocument/2006/relationships/hyperlink" Target="http://10.248.222.20/ReportServer?%2FPMGSYCitizen%2FUspPropPhysicalProgressofWorks&amp;Level=3&amp;State=20&amp;District=233&amp;Block=0&amp;Batch=0&amp;Year=0&amp;Collaboration=2&amp;PMGSY=1&amp;LocationName=Madhya%20Pradesh&amp;DistrictName=Jabalpur&amp;BlockName=All%20Blocks&amp;LocalizationValue=en&amp;BatchName=All%20Batches&amp;CollaborationName=Regular%20PMGSY&amp;rs%3AParameterLanguage=" TargetMode="External" /><Relationship Id="rId23" Type="http://schemas.openxmlformats.org/officeDocument/2006/relationships/hyperlink" Target="http://10.248.222.20/ReportServer?%2FPMGSYCitizen%2FUspPropPhysicalProgressofWorks&amp;Level=3&amp;State=20&amp;District=253&amp;Block=0&amp;Batch=0&amp;Year=0&amp;Collaboration=2&amp;PMGSY=1&amp;LocationName=Madhya%20Pradesh&amp;DistrictName=Jhabua&amp;BlockName=All%20Blocks&amp;LocalizationValue=en&amp;BatchName=All%20Batches&amp;CollaborationName=Regular%20PMGSY&amp;rs%3AParameterLanguage=" TargetMode="External" /><Relationship Id="rId24" Type="http://schemas.openxmlformats.org/officeDocument/2006/relationships/hyperlink" Target="http://10.248.222.20/ReportServer?%2FPMGSYCitizen%2FUspPropPhysicalProgressofWorks&amp;Level=3&amp;State=20&amp;District=286&amp;Block=0&amp;Batch=0&amp;Year=0&amp;Collaboration=2&amp;PMGSY=1&amp;LocationName=Madhya%20Pradesh&amp;DistrictName=Katni&amp;BlockName=All%20Blocks&amp;LocalizationValue=en&amp;BatchName=All%20Batches&amp;CollaborationName=Regular%20PMGSY&amp;rs%3AParameterLanguage=" TargetMode="External" /><Relationship Id="rId25" Type="http://schemas.openxmlformats.org/officeDocument/2006/relationships/hyperlink" Target="http://10.248.222.20/ReportServer?%2FPMGSYCitizen%2FUspPropPhysicalProgressofWorks&amp;Level=3&amp;State=20&amp;District=293&amp;Block=0&amp;Batch=0&amp;Year=0&amp;Collaboration=2&amp;PMGSY=1&amp;LocationName=Madhya%20Pradesh&amp;DistrictName=Khandwa&amp;BlockName=All%20Blocks&amp;LocalizationValue=en&amp;BatchName=All%20Batches&amp;CollaborationName=Regular%20PMGSY&amp;rs%3AParameterLanguage=" TargetMode="External" /><Relationship Id="rId26" Type="http://schemas.openxmlformats.org/officeDocument/2006/relationships/hyperlink" Target="http://10.248.222.20/ReportServer?%2FPMGSYCitizen%2FUspPropPhysicalProgressofWorks&amp;Level=3&amp;State=20&amp;District=294&amp;Block=0&amp;Batch=0&amp;Year=0&amp;Collaboration=2&amp;PMGSY=1&amp;LocationName=Madhya%20Pradesh&amp;DistrictName=Khargone&amp;BlockName=All%20Blocks&amp;LocalizationValue=en&amp;BatchName=All%20Batches&amp;CollaborationName=Regular%20PMGSY&amp;rs%3AParameterLanguage=" TargetMode="External" /><Relationship Id="rId27" Type="http://schemas.openxmlformats.org/officeDocument/2006/relationships/hyperlink" Target="http://10.248.222.20/ReportServer?%2FPMGSYCitizen%2FUspPropPhysicalProgressofWorks&amp;Level=3&amp;State=20&amp;District=354&amp;Block=0&amp;Batch=0&amp;Year=0&amp;Collaboration=2&amp;PMGSY=1&amp;LocationName=Madhya%20Pradesh&amp;DistrictName=Mandla&amp;BlockName=All%20Blocks&amp;LocalizationValue=en&amp;BatchName=All%20Batches&amp;CollaborationName=Regular%20PMGSY&amp;rs%3AParameterLanguage=" TargetMode="External" /><Relationship Id="rId28" Type="http://schemas.openxmlformats.org/officeDocument/2006/relationships/hyperlink" Target="http://10.248.222.20/ReportServer?%2FPMGSYCitizen%2FUspPropPhysicalProgressofWorks&amp;Level=3&amp;State=20&amp;District=355&amp;Block=0&amp;Batch=0&amp;Year=0&amp;Collaboration=2&amp;PMGSY=1&amp;LocationName=Madhya%20Pradesh&amp;DistrictName=Mandsour&amp;BlockName=All%20Blocks&amp;LocalizationValue=en&amp;BatchName=All%20Batches&amp;CollaborationName=Regular%20PMGSY&amp;rs%3AParameterLanguage=" TargetMode="External" /><Relationship Id="rId29" Type="http://schemas.openxmlformats.org/officeDocument/2006/relationships/hyperlink" Target="http://10.248.222.20/ReportServer?%2FPMGSYCitizen%2FUspPropPhysicalProgressofWorks&amp;Level=3&amp;State=20&amp;District=370&amp;Block=0&amp;Batch=0&amp;Year=0&amp;Collaboration=2&amp;PMGSY=1&amp;LocationName=Madhya%20Pradesh&amp;DistrictName=Morena&amp;BlockName=All%20Blocks&amp;LocalizationValue=en&amp;BatchName=All%20Batches&amp;CollaborationName=Regular%20PMGSY&amp;rs%3AParameterLanguage=" TargetMode="External" /><Relationship Id="rId30" Type="http://schemas.openxmlformats.org/officeDocument/2006/relationships/hyperlink" Target="http://10.248.222.20/ReportServer?%2FPMGSYCitizen%2FUspPropPhysicalProgressofWorks&amp;Level=3&amp;State=20&amp;District=392&amp;Block=0&amp;Batch=0&amp;Year=0&amp;Collaboration=2&amp;PMGSY=1&amp;LocationName=Madhya%20Pradesh&amp;DistrictName=Narsighpur&amp;BlockName=All%20Blocks&amp;LocalizationValue=en&amp;BatchName=All%20Batches&amp;CollaborationName=Regular%20PMGSY&amp;rs%3AParameterLanguage=" TargetMode="External" /><Relationship Id="rId31" Type="http://schemas.openxmlformats.org/officeDocument/2006/relationships/hyperlink" Target="http://10.248.222.20/ReportServer?%2FPMGSYCitizen%2FUspPropPhysicalProgressofWorks&amp;Level=3&amp;State=20&amp;District=399&amp;Block=0&amp;Batch=0&amp;Year=0&amp;Collaboration=2&amp;PMGSY=1&amp;LocationName=Madhya%20Pradesh&amp;DistrictName=Neemuch&amp;BlockName=All%20Blocks&amp;LocalizationValue=en&amp;BatchName=All%20Batches&amp;CollaborationName=Regular%20PMGSY&amp;rs%3AParameterLanguage=" TargetMode="External" /><Relationship Id="rId32" Type="http://schemas.openxmlformats.org/officeDocument/2006/relationships/hyperlink" Target="http://10.248.222.20/ReportServer?%2FPMGSYCitizen%2FUspPropPhysicalProgressofWorks&amp;Level=3&amp;State=20&amp;District=417&amp;Block=0&amp;Batch=0&amp;Year=0&amp;Collaboration=2&amp;PMGSY=1&amp;LocationName=Madhya%20Pradesh&amp;DistrictName=Panna&amp;BlockName=All%20Blocks&amp;LocalizationValue=en&amp;BatchName=All%20Batches&amp;CollaborationName=Regular%20PMGSY&amp;rs%3AParameterLanguage=" TargetMode="External" /><Relationship Id="rId33" Type="http://schemas.openxmlformats.org/officeDocument/2006/relationships/hyperlink" Target="http://10.248.222.20/ReportServer?%2FPMGSYCitizen%2FUspPropPhysicalProgressofWorks&amp;Level=3&amp;State=20&amp;District=449&amp;Block=0&amp;Batch=0&amp;Year=0&amp;Collaboration=2&amp;PMGSY=1&amp;LocationName=Madhya%20Pradesh&amp;DistrictName=Raisen&amp;BlockName=All%20Blocks&amp;LocalizationValue=en&amp;BatchName=All%20Batches&amp;CollaborationName=Regular%20PMGSY&amp;rs%3AParameterLanguage=" TargetMode="External" /><Relationship Id="rId34" Type="http://schemas.openxmlformats.org/officeDocument/2006/relationships/hyperlink" Target="http://10.248.222.20/ReportServer?%2FPMGSYCitizen%2FUspPropPhysicalProgressofWorks&amp;Level=3&amp;State=20&amp;District=450&amp;Block=0&amp;Batch=0&amp;Year=0&amp;Collaboration=2&amp;PMGSY=1&amp;LocationName=Madhya%20Pradesh&amp;DistrictName=Rajgarh&amp;BlockName=All%20Blocks&amp;LocalizationValue=en&amp;BatchName=All%20Batches&amp;CollaborationName=Regular%20PMGSY&amp;rs%3AParameterLanguage=" TargetMode="External" /><Relationship Id="rId35" Type="http://schemas.openxmlformats.org/officeDocument/2006/relationships/hyperlink" Target="http://10.248.222.20/ReportServer?%2FPMGSYCitizen%2FUspPropPhysicalProgressofWorks&amp;Level=3&amp;State=20&amp;District=460&amp;Block=0&amp;Batch=0&amp;Year=0&amp;Collaboration=2&amp;PMGSY=1&amp;LocationName=Madhya%20Pradesh&amp;DistrictName=Ratlam&amp;BlockName=All%20Blocks&amp;LocalizationValue=en&amp;BatchName=All%20Batches&amp;CollaborationName=Regular%20PMGSY&amp;rs%3AParameterLanguage=" TargetMode="External" /><Relationship Id="rId36" Type="http://schemas.openxmlformats.org/officeDocument/2006/relationships/hyperlink" Target="http://10.248.222.20/ReportServer?%2FPMGSYCitizen%2FUspPropPhysicalProgressofWorks&amp;Level=3&amp;State=20&amp;District=463&amp;Block=0&amp;Batch=0&amp;Year=0&amp;Collaboration=2&amp;PMGSY=1&amp;LocationName=Madhya%20Pradesh&amp;DistrictName=Rewa&amp;BlockName=All%20Blocks&amp;LocalizationValue=en&amp;BatchName=All%20Batches&amp;CollaborationName=Regular%20PMGSY&amp;rs%3AParameterLanguage=" TargetMode="External" /><Relationship Id="rId37" Type="http://schemas.openxmlformats.org/officeDocument/2006/relationships/hyperlink" Target="http://10.248.222.20/ReportServer?%2FPMGSYCitizen%2FUspPropPhysicalProgressofWorks&amp;Level=3&amp;State=20&amp;District=473&amp;Block=0&amp;Batch=0&amp;Year=0&amp;Collaboration=2&amp;PMGSY=1&amp;LocationName=Madhya%20Pradesh&amp;DistrictName=Sagar&amp;BlockName=All%20Blocks&amp;LocalizationValue=en&amp;BatchName=All%20Batches&amp;CollaborationName=Regular%20PMGSY&amp;rs%3AParameterLanguage=" TargetMode="External" /><Relationship Id="rId38" Type="http://schemas.openxmlformats.org/officeDocument/2006/relationships/hyperlink" Target="http://10.248.222.20/ReportServer?%2FPMGSYCitizen%2FUspPropPhysicalProgressofWorks&amp;Level=3&amp;State=20&amp;District=485&amp;Block=0&amp;Batch=0&amp;Year=0&amp;Collaboration=2&amp;PMGSY=1&amp;LocationName=Madhya%20Pradesh&amp;DistrictName=Satna&amp;BlockName=All%20Blocks&amp;LocalizationValue=en&amp;BatchName=All%20Batches&amp;CollaborationName=Regular%20PMGSY&amp;rs%3AParameterLanguage=" TargetMode="External" /><Relationship Id="rId39" Type="http://schemas.openxmlformats.org/officeDocument/2006/relationships/hyperlink" Target="http://10.248.222.20/ReportServer?%2FPMGSYCitizen%2FUspPropPhysicalProgressofWorks&amp;Level=3&amp;State=20&amp;District=487&amp;Block=0&amp;Batch=0&amp;Year=0&amp;Collaboration=2&amp;PMGSY=1&amp;LocationName=Madhya%20Pradesh&amp;DistrictName=Sehore&amp;BlockName=All%20Blocks&amp;LocalizationValue=en&amp;BatchName=All%20Batches&amp;CollaborationName=Regular%20PMGSY&amp;rs%3AParameterLanguage=" TargetMode="External" /><Relationship Id="rId40" Type="http://schemas.openxmlformats.org/officeDocument/2006/relationships/hyperlink" Target="http://10.248.222.20/ReportServer?%2FPMGSYCitizen%2FUspPropPhysicalProgressofWorks&amp;Level=3&amp;State=20&amp;District=489&amp;Block=0&amp;Batch=0&amp;Year=0&amp;Collaboration=2&amp;PMGSY=1&amp;LocationName=Madhya%20Pradesh&amp;DistrictName=Seoni&amp;BlockName=All%20Blocks&amp;LocalizationValue=en&amp;BatchName=All%20Batches&amp;CollaborationName=Regular%20PMGSY&amp;rs%3AParameterLanguage=" TargetMode="External" /><Relationship Id="rId41" Type="http://schemas.openxmlformats.org/officeDocument/2006/relationships/hyperlink" Target="http://10.248.222.20/ReportServer?%2FPMGSYCitizen%2FUspPropPhysicalProgressofWorks&amp;Level=3&amp;State=20&amp;District=490&amp;Block=0&amp;Batch=0&amp;Year=0&amp;Collaboration=2&amp;PMGSY=1&amp;LocationName=Madhya%20Pradesh&amp;DistrictName=Seopur&amp;BlockName=All%20Blocks&amp;LocalizationValue=en&amp;BatchName=All%20Batches&amp;CollaborationName=Regular%20PMGSY&amp;rs%3AParameterLanguage=" TargetMode="External" /><Relationship Id="rId42" Type="http://schemas.openxmlformats.org/officeDocument/2006/relationships/hyperlink" Target="http://10.248.222.20/ReportServer?%2FPMGSYCitizen%2FUspPropPhysicalProgressofWorks&amp;Level=3&amp;State=20&amp;District=492&amp;Block=0&amp;Batch=0&amp;Year=0&amp;Collaboration=2&amp;PMGSY=1&amp;LocationName=Madhya%20Pradesh&amp;DistrictName=Shahdol&amp;BlockName=All%20Blocks&amp;LocalizationValue=en&amp;BatchName=All%20Batches&amp;CollaborationName=Regular%20PMGSY&amp;rs%3AParameterLanguage=" TargetMode="External" /><Relationship Id="rId43" Type="http://schemas.openxmlformats.org/officeDocument/2006/relationships/hyperlink" Target="http://10.248.222.20/ReportServer?%2FPMGSYCitizen%2FUspPropPhysicalProgressofWorks&amp;Level=3&amp;State=20&amp;District=494&amp;Block=0&amp;Batch=0&amp;Year=0&amp;Collaboration=2&amp;PMGSY=1&amp;LocationName=Madhya%20Pradesh&amp;DistrictName=Shajapur&amp;BlockName=All%20Blocks&amp;LocalizationValue=en&amp;BatchName=All%20Batches&amp;CollaborationName=Regular%20PMGSY&amp;rs%3AParameterLanguage=" TargetMode="External" /><Relationship Id="rId44" Type="http://schemas.openxmlformats.org/officeDocument/2006/relationships/hyperlink" Target="http://10.248.222.20/ReportServer?%2FPMGSYCitizen%2FUspPropPhysicalProgressofWorks&amp;Level=3&amp;State=20&amp;District=499&amp;Block=0&amp;Batch=0&amp;Year=0&amp;Collaboration=2&amp;PMGSY=1&amp;LocationName=Madhya%20Pradesh&amp;DistrictName=Shivpuri&amp;BlockName=All%20Blocks&amp;LocalizationValue=en&amp;BatchName=All%20Batches&amp;CollaborationName=Regular%20PMGSY&amp;rs%3AParameterLanguage=" TargetMode="External" /><Relationship Id="rId45" Type="http://schemas.openxmlformats.org/officeDocument/2006/relationships/hyperlink" Target="http://10.248.222.20/ReportServer?%2FPMGSYCitizen%2FUspPropPhysicalProgressofWorks&amp;Level=3&amp;State=20&amp;District=503&amp;Block=0&amp;Batch=0&amp;Year=0&amp;Collaboration=2&amp;PMGSY=1&amp;LocationName=Madhya%20Pradesh&amp;DistrictName=Sidhi&amp;BlockName=All%20Blocks&amp;LocalizationValue=en&amp;BatchName=All%20Batches&amp;CollaborationName=Regular%20PMGSY&amp;rs%3AParameterLanguage=" TargetMode="External" /><Relationship Id="rId46" Type="http://schemas.openxmlformats.org/officeDocument/2006/relationships/hyperlink" Target="http://10.248.222.20/ReportServer?%2FPMGSYCitizen%2FUspPropPhysicalProgressofWorks&amp;Level=3&amp;State=20&amp;District=508&amp;Block=0&amp;Batch=0&amp;Year=0&amp;Collaboration=2&amp;PMGSY=1&amp;LocationName=Madhya%20Pradesh&amp;DistrictName=Singrauli&amp;BlockName=All%20Blocks&amp;LocalizationValue=en&amp;BatchName=All%20Batches&amp;CollaborationName=Regular%20PMGSY&amp;rs%3AParameterLanguage=" TargetMode="External" /><Relationship Id="rId47" Type="http://schemas.openxmlformats.org/officeDocument/2006/relationships/hyperlink" Target="http://10.248.222.20/ReportServer?%2FPMGSYCitizen%2FUspPropPhysicalProgressofWorks&amp;Level=3&amp;State=20&amp;District=547&amp;Block=0&amp;Batch=0&amp;Year=0&amp;Collaboration=2&amp;PMGSY=1&amp;LocationName=Madhya%20Pradesh&amp;DistrictName=Tikamgarh&amp;BlockName=All%20Blocks&amp;LocalizationValue=en&amp;BatchName=All%20Batches&amp;CollaborationName=Regular%20PMGSY&amp;rs%3AParameterLanguage=" TargetMode="External" /><Relationship Id="rId48" Type="http://schemas.openxmlformats.org/officeDocument/2006/relationships/hyperlink" Target="http://10.248.222.20/ReportServer?%2FPMGSYCitizen%2FUspPropPhysicalProgressofWorks&amp;Level=3&amp;State=20&amp;District=564&amp;Block=0&amp;Batch=0&amp;Year=0&amp;Collaboration=2&amp;PMGSY=1&amp;LocationName=Madhya%20Pradesh&amp;DistrictName=Ujjain&amp;BlockName=All%20Blocks&amp;LocalizationValue=en&amp;BatchName=All%20Batches&amp;CollaborationName=Regular%20PMGSY&amp;rs%3AParameterLanguage=" TargetMode="External" /><Relationship Id="rId49" Type="http://schemas.openxmlformats.org/officeDocument/2006/relationships/hyperlink" Target="http://10.248.222.20/ReportServer?%2FPMGSYCitizen%2FUspPropPhysicalProgressofWorks&amp;Level=3&amp;State=20&amp;District=566&amp;Block=0&amp;Batch=0&amp;Year=0&amp;Collaboration=2&amp;PMGSY=1&amp;LocationName=Madhya%20Pradesh&amp;DistrictName=Umria&amp;BlockName=All%20Blocks&amp;LocalizationValue=en&amp;BatchName=All%20Batches&amp;CollaborationName=Regular%20PMGSY&amp;rs%3AParameterLanguage=" TargetMode="External" /><Relationship Id="rId50" Type="http://schemas.openxmlformats.org/officeDocument/2006/relationships/hyperlink" Target="http://10.248.222.20/ReportServer?%2FPMGSYCitizen%2FUspPropPhysicalProgressofWorks&amp;Level=3&amp;State=20&amp;District=579&amp;Block=0&amp;Batch=0&amp;Year=0&amp;Collaboration=2&amp;PMGSY=1&amp;LocationName=Madhya%20Pradesh&amp;DistrictName=Vidisha&amp;BlockName=All%20Blocks&amp;LocalizationValue=en&amp;BatchName=All%20Batches&amp;CollaborationName=Regular%20PMGSY&amp;rs%3AParameterLangu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3.28125" style="0" customWidth="1"/>
    <col min="2" max="2" width="11.28125" style="0" customWidth="1"/>
    <col min="3" max="3" width="7.28125" style="0" customWidth="1"/>
    <col min="4" max="4" width="9.8515625" style="0" customWidth="1"/>
    <col min="5" max="5" width="8.57421875" style="0" customWidth="1"/>
    <col min="6" max="6" width="8.8515625" style="0" customWidth="1"/>
    <col min="7" max="7" width="10.7109375" style="0" customWidth="1"/>
    <col min="9" max="9" width="7.421875" style="0" customWidth="1"/>
    <col min="10" max="10" width="9.00390625" style="0" customWidth="1"/>
    <col min="11" max="11" width="8.28125" style="0" customWidth="1"/>
    <col min="12" max="12" width="7.57421875" style="0" customWidth="1"/>
  </cols>
  <sheetData>
    <row r="1" ht="15">
      <c r="D1" s="22" t="s">
        <v>60</v>
      </c>
    </row>
    <row r="3" spans="1:12" ht="15">
      <c r="A3" s="1"/>
      <c r="B3" s="1"/>
      <c r="C3" s="54" t="s">
        <v>0</v>
      </c>
      <c r="D3" s="54"/>
      <c r="E3" s="54"/>
      <c r="F3" s="55" t="s">
        <v>1</v>
      </c>
      <c r="G3" s="55"/>
      <c r="H3" s="55"/>
      <c r="I3" s="56" t="s">
        <v>2</v>
      </c>
      <c r="J3" s="56"/>
      <c r="K3" s="56"/>
      <c r="L3" s="1"/>
    </row>
    <row r="4" spans="1:12" ht="60">
      <c r="A4" s="1"/>
      <c r="B4" s="2" t="s">
        <v>3</v>
      </c>
      <c r="C4" s="2" t="s">
        <v>4</v>
      </c>
      <c r="D4" s="2" t="s">
        <v>5</v>
      </c>
      <c r="E4" s="2" t="s">
        <v>6</v>
      </c>
      <c r="F4" s="2" t="s">
        <v>4</v>
      </c>
      <c r="G4" s="2" t="s">
        <v>5</v>
      </c>
      <c r="H4" s="2" t="s">
        <v>6</v>
      </c>
      <c r="I4" s="2" t="s">
        <v>4</v>
      </c>
      <c r="J4" s="2" t="s">
        <v>5</v>
      </c>
      <c r="K4" s="2" t="s">
        <v>6</v>
      </c>
      <c r="L4" s="3" t="s">
        <v>7</v>
      </c>
    </row>
    <row r="5" spans="1:12" ht="15">
      <c r="A5" s="2">
        <v>1</v>
      </c>
      <c r="B5" s="1" t="s">
        <v>8</v>
      </c>
      <c r="C5" s="1">
        <f>223+5</f>
        <v>228</v>
      </c>
      <c r="D5" s="4">
        <f>15.4+964.74+19.34</f>
        <v>999.48</v>
      </c>
      <c r="E5" s="1">
        <v>281.36</v>
      </c>
      <c r="F5" s="5">
        <v>227</v>
      </c>
      <c r="G5" s="6">
        <v>1009.97</v>
      </c>
      <c r="H5" s="7">
        <v>257.57</v>
      </c>
      <c r="I5" s="2">
        <f>C5-F5</f>
        <v>1</v>
      </c>
      <c r="J5" s="8">
        <f>D5-G5</f>
        <v>-10.490000000000009</v>
      </c>
      <c r="K5" s="19">
        <f>E5-H5</f>
        <v>23.79000000000002</v>
      </c>
      <c r="L5" s="1" t="s">
        <v>59</v>
      </c>
    </row>
    <row r="6" spans="1:12" ht="15">
      <c r="A6" s="2">
        <v>2</v>
      </c>
      <c r="B6" s="1" t="s">
        <v>9</v>
      </c>
      <c r="C6" s="1">
        <f>189+32</f>
        <v>221</v>
      </c>
      <c r="D6" s="4">
        <f>875.36+92.945</f>
        <v>968.3050000000001</v>
      </c>
      <c r="E6" s="1">
        <v>234.88</v>
      </c>
      <c r="F6" s="5">
        <v>216</v>
      </c>
      <c r="G6" s="6">
        <v>981.775</v>
      </c>
      <c r="H6" s="7">
        <v>234.37</v>
      </c>
      <c r="I6" s="20">
        <f aca="true" t="shared" si="0" ref="I6:K54">C6-F6</f>
        <v>5</v>
      </c>
      <c r="J6" s="8">
        <f t="shared" si="0"/>
        <v>-13.469999999999914</v>
      </c>
      <c r="K6" s="1">
        <f t="shared" si="0"/>
        <v>0.5099999999999909</v>
      </c>
      <c r="L6" s="1" t="s">
        <v>7</v>
      </c>
    </row>
    <row r="7" spans="1:12" ht="15">
      <c r="A7" s="2">
        <v>3</v>
      </c>
      <c r="B7" s="1" t="s">
        <v>10</v>
      </c>
      <c r="C7" s="1">
        <f>97+3</f>
        <v>100</v>
      </c>
      <c r="D7" s="9">
        <f>10.9+406.04</f>
        <v>416.94</v>
      </c>
      <c r="E7" s="1">
        <v>128.36</v>
      </c>
      <c r="F7" s="5">
        <v>96</v>
      </c>
      <c r="G7" s="6">
        <v>454.875</v>
      </c>
      <c r="H7" s="7">
        <v>121.33</v>
      </c>
      <c r="I7" s="2">
        <f t="shared" si="0"/>
        <v>4</v>
      </c>
      <c r="J7" s="8">
        <f t="shared" si="0"/>
        <v>-37.935</v>
      </c>
      <c r="K7" s="1">
        <f t="shared" si="0"/>
        <v>7.030000000000015</v>
      </c>
      <c r="L7" s="1"/>
    </row>
    <row r="8" spans="1:12" ht="15">
      <c r="A8" s="2">
        <v>4</v>
      </c>
      <c r="B8" s="1" t="s">
        <v>11</v>
      </c>
      <c r="C8" s="1">
        <f>460+22</f>
        <v>482</v>
      </c>
      <c r="D8" s="9">
        <f>50.955+41.684+1918.344</f>
        <v>2010.983</v>
      </c>
      <c r="E8" s="1">
        <v>502.02</v>
      </c>
      <c r="F8" s="5">
        <v>477</v>
      </c>
      <c r="G8" s="6">
        <v>1977.105</v>
      </c>
      <c r="H8" s="7">
        <v>492.29</v>
      </c>
      <c r="I8" s="20">
        <f t="shared" si="0"/>
        <v>5</v>
      </c>
      <c r="J8" s="8">
        <f t="shared" si="0"/>
        <v>33.87799999999993</v>
      </c>
      <c r="K8" s="1">
        <f t="shared" si="0"/>
        <v>9.729999999999961</v>
      </c>
      <c r="L8" s="1" t="s">
        <v>7</v>
      </c>
    </row>
    <row r="9" spans="1:12" ht="15">
      <c r="A9" s="2">
        <v>5</v>
      </c>
      <c r="B9" s="1" t="s">
        <v>12</v>
      </c>
      <c r="C9" s="1">
        <f>131+4+129</f>
        <v>264</v>
      </c>
      <c r="D9" s="9">
        <f>12.075+1138.577+50.405</f>
        <v>1201.057</v>
      </c>
      <c r="E9" s="1">
        <v>325.64</v>
      </c>
      <c r="F9" s="5">
        <v>265</v>
      </c>
      <c r="G9" s="6">
        <v>1225.9</v>
      </c>
      <c r="H9" s="7">
        <v>318.42</v>
      </c>
      <c r="I9" s="2">
        <f t="shared" si="0"/>
        <v>-1</v>
      </c>
      <c r="J9" s="8">
        <f t="shared" si="0"/>
        <v>-24.843000000000075</v>
      </c>
      <c r="K9" s="1">
        <f t="shared" si="0"/>
        <v>7.21999999999997</v>
      </c>
      <c r="L9" s="1"/>
    </row>
    <row r="10" spans="1:12" ht="15">
      <c r="A10" s="2">
        <v>6</v>
      </c>
      <c r="B10" s="1" t="s">
        <v>13</v>
      </c>
      <c r="C10" s="1">
        <f>429+15</f>
        <v>444</v>
      </c>
      <c r="D10" s="9">
        <f>1898.978+31.22</f>
        <v>1930.198</v>
      </c>
      <c r="E10" s="1">
        <v>515.03</v>
      </c>
      <c r="F10" s="5">
        <v>444</v>
      </c>
      <c r="G10" s="6">
        <v>1941.91</v>
      </c>
      <c r="H10" s="7">
        <v>511.02</v>
      </c>
      <c r="I10" s="2">
        <f t="shared" si="0"/>
        <v>0</v>
      </c>
      <c r="J10" s="8">
        <f t="shared" si="0"/>
        <v>-11.711999999999989</v>
      </c>
      <c r="K10" s="1">
        <f t="shared" si="0"/>
        <v>4.009999999999991</v>
      </c>
      <c r="L10" s="1"/>
    </row>
    <row r="11" spans="1:12" ht="15">
      <c r="A11" s="2">
        <v>7</v>
      </c>
      <c r="B11" s="1" t="s">
        <v>14</v>
      </c>
      <c r="C11" s="1">
        <f>251+36</f>
        <v>287</v>
      </c>
      <c r="D11" s="9">
        <f>100.42+939.595+13.8</f>
        <v>1053.815</v>
      </c>
      <c r="E11" s="1">
        <v>227.57</v>
      </c>
      <c r="F11" s="5">
        <v>250</v>
      </c>
      <c r="G11" s="6">
        <v>942.15</v>
      </c>
      <c r="H11" s="7">
        <v>204.83</v>
      </c>
      <c r="I11" s="20">
        <f t="shared" si="0"/>
        <v>37</v>
      </c>
      <c r="J11" s="8">
        <f t="shared" si="0"/>
        <v>111.66500000000008</v>
      </c>
      <c r="K11" s="19">
        <f t="shared" si="0"/>
        <v>22.73999999999998</v>
      </c>
      <c r="L11" s="1" t="s">
        <v>7</v>
      </c>
    </row>
    <row r="12" spans="1:12" ht="15">
      <c r="A12" s="2">
        <v>8</v>
      </c>
      <c r="B12" s="1" t="s">
        <v>15</v>
      </c>
      <c r="C12" s="1">
        <v>84</v>
      </c>
      <c r="D12" s="9">
        <f>279.17</f>
        <v>279.17</v>
      </c>
      <c r="E12" s="1">
        <v>87.19</v>
      </c>
      <c r="F12" s="5">
        <v>91</v>
      </c>
      <c r="G12" s="6">
        <v>296.41</v>
      </c>
      <c r="H12" s="7">
        <v>87.69</v>
      </c>
      <c r="I12" s="2">
        <f t="shared" si="0"/>
        <v>-7</v>
      </c>
      <c r="J12" s="8">
        <f t="shared" si="0"/>
        <v>-17.24000000000001</v>
      </c>
      <c r="K12" s="1">
        <f t="shared" si="0"/>
        <v>-0.5</v>
      </c>
      <c r="L12" s="1"/>
    </row>
    <row r="13" spans="1:12" ht="15">
      <c r="A13" s="2">
        <v>9</v>
      </c>
      <c r="B13" s="1" t="s">
        <v>16</v>
      </c>
      <c r="C13" s="1">
        <f>108+4</f>
        <v>112</v>
      </c>
      <c r="D13" s="9">
        <f>498.825+15.35+11.63</f>
        <v>525.805</v>
      </c>
      <c r="E13" s="1">
        <v>129.78</v>
      </c>
      <c r="F13" s="5">
        <v>109</v>
      </c>
      <c r="G13" s="6">
        <v>492.721</v>
      </c>
      <c r="H13" s="7">
        <v>132.99</v>
      </c>
      <c r="I13" s="2">
        <f t="shared" si="0"/>
        <v>3</v>
      </c>
      <c r="J13" s="8">
        <f t="shared" si="0"/>
        <v>33.083999999999946</v>
      </c>
      <c r="K13" s="1">
        <f t="shared" si="0"/>
        <v>-3.210000000000008</v>
      </c>
      <c r="L13" s="1"/>
    </row>
    <row r="14" spans="1:12" ht="15">
      <c r="A14" s="2">
        <v>10</v>
      </c>
      <c r="B14" s="1" t="s">
        <v>17</v>
      </c>
      <c r="C14" s="1">
        <f>32+524</f>
        <v>556</v>
      </c>
      <c r="D14" s="9">
        <f>89.485+1227.61+18.975</f>
        <v>1336.0699999999997</v>
      </c>
      <c r="E14" s="1">
        <v>297.33</v>
      </c>
      <c r="F14" s="5">
        <v>310</v>
      </c>
      <c r="G14" s="6">
        <v>1346.345</v>
      </c>
      <c r="H14" s="7">
        <v>295.09</v>
      </c>
      <c r="I14" s="2">
        <f t="shared" si="0"/>
        <v>246</v>
      </c>
      <c r="J14" s="8">
        <f t="shared" si="0"/>
        <v>-10.275000000000318</v>
      </c>
      <c r="K14" s="1">
        <f t="shared" si="0"/>
        <v>2.240000000000009</v>
      </c>
      <c r="L14" s="1"/>
    </row>
    <row r="15" spans="1:12" ht="15">
      <c r="A15" s="2">
        <v>11</v>
      </c>
      <c r="B15" s="1" t="s">
        <v>18</v>
      </c>
      <c r="C15" s="1">
        <f>426+44</f>
        <v>470</v>
      </c>
      <c r="D15" s="9">
        <f>104.869+2045.8263+40.597</f>
        <v>2191.2923</v>
      </c>
      <c r="E15" s="1">
        <v>625.43</v>
      </c>
      <c r="F15" s="5">
        <v>432</v>
      </c>
      <c r="G15" s="6">
        <v>2076.735</v>
      </c>
      <c r="H15" s="7">
        <v>588.46</v>
      </c>
      <c r="I15" s="20">
        <f t="shared" si="0"/>
        <v>38</v>
      </c>
      <c r="J15" s="8">
        <f t="shared" si="0"/>
        <v>114.55729999999994</v>
      </c>
      <c r="K15" s="19">
        <f t="shared" si="0"/>
        <v>36.969999999999914</v>
      </c>
      <c r="L15" s="1" t="s">
        <v>7</v>
      </c>
    </row>
    <row r="16" spans="1:12" ht="15">
      <c r="A16" s="2">
        <v>12</v>
      </c>
      <c r="B16" s="1" t="s">
        <v>19</v>
      </c>
      <c r="C16" s="1">
        <v>169</v>
      </c>
      <c r="D16" s="9">
        <f>71.8+579.873</f>
        <v>651.673</v>
      </c>
      <c r="E16" s="1">
        <v>173.15</v>
      </c>
      <c r="F16" s="5">
        <v>165</v>
      </c>
      <c r="G16" s="6">
        <v>632.85</v>
      </c>
      <c r="H16" s="7">
        <v>173.15</v>
      </c>
      <c r="I16" s="2">
        <f t="shared" si="0"/>
        <v>4</v>
      </c>
      <c r="J16" s="8">
        <f t="shared" si="0"/>
        <v>18.82299999999998</v>
      </c>
      <c r="K16" s="1">
        <f t="shared" si="0"/>
        <v>0</v>
      </c>
      <c r="L16" s="1"/>
    </row>
    <row r="17" spans="1:12" ht="15">
      <c r="A17" s="2">
        <v>13</v>
      </c>
      <c r="B17" s="1" t="s">
        <v>20</v>
      </c>
      <c r="C17" s="1">
        <v>154</v>
      </c>
      <c r="D17" s="9">
        <f>606.21+17+19.75</f>
        <v>642.96</v>
      </c>
      <c r="E17" s="1">
        <v>122.76</v>
      </c>
      <c r="F17" s="5">
        <v>154</v>
      </c>
      <c r="G17" s="6">
        <v>632.506</v>
      </c>
      <c r="H17" s="7">
        <v>116.24</v>
      </c>
      <c r="I17" s="2">
        <f t="shared" si="0"/>
        <v>0</v>
      </c>
      <c r="J17" s="8">
        <f t="shared" si="0"/>
        <v>10.454000000000065</v>
      </c>
      <c r="K17" s="1">
        <f t="shared" si="0"/>
        <v>6.52000000000001</v>
      </c>
      <c r="L17" s="1"/>
    </row>
    <row r="18" spans="1:12" ht="15">
      <c r="A18" s="2">
        <v>14</v>
      </c>
      <c r="B18" s="1" t="s">
        <v>21</v>
      </c>
      <c r="C18" s="1">
        <v>197</v>
      </c>
      <c r="D18" s="9">
        <f>16.4+812.16+8.79</f>
        <v>837.3499999999999</v>
      </c>
      <c r="E18" s="1">
        <v>236.24</v>
      </c>
      <c r="F18" s="5">
        <v>192</v>
      </c>
      <c r="G18" s="6">
        <v>850.96</v>
      </c>
      <c r="H18" s="7">
        <v>236.61</v>
      </c>
      <c r="I18" s="20">
        <f t="shared" si="0"/>
        <v>5</v>
      </c>
      <c r="J18" s="8">
        <f t="shared" si="0"/>
        <v>-13.610000000000127</v>
      </c>
      <c r="K18" s="1">
        <f t="shared" si="0"/>
        <v>-0.37000000000000455</v>
      </c>
      <c r="L18" s="1" t="s">
        <v>7</v>
      </c>
    </row>
    <row r="19" spans="1:12" ht="15">
      <c r="A19" s="2">
        <v>15</v>
      </c>
      <c r="B19" s="1" t="s">
        <v>22</v>
      </c>
      <c r="C19" s="1">
        <f>503+2+2</f>
        <v>507</v>
      </c>
      <c r="D19" s="9">
        <f>5.63+2163.757+2.571+2.13</f>
        <v>2174.088</v>
      </c>
      <c r="E19" s="1">
        <v>577.98</v>
      </c>
      <c r="F19" s="5">
        <v>503</v>
      </c>
      <c r="G19" s="6">
        <v>2186.22</v>
      </c>
      <c r="H19" s="7">
        <v>567.63</v>
      </c>
      <c r="I19" s="2">
        <f t="shared" si="0"/>
        <v>4</v>
      </c>
      <c r="J19" s="8">
        <f t="shared" si="0"/>
        <v>-12.131999999999607</v>
      </c>
      <c r="K19" s="19">
        <f t="shared" si="0"/>
        <v>10.350000000000023</v>
      </c>
      <c r="L19" s="1" t="s">
        <v>7</v>
      </c>
    </row>
    <row r="20" spans="1:12" ht="15">
      <c r="A20" s="2">
        <v>16</v>
      </c>
      <c r="B20" s="1" t="s">
        <v>23</v>
      </c>
      <c r="C20" s="1">
        <f>282+54</f>
        <v>336</v>
      </c>
      <c r="D20" s="9">
        <f>157.655+1243.028</f>
        <v>1400.683</v>
      </c>
      <c r="E20" s="1">
        <v>335.74</v>
      </c>
      <c r="F20" s="5">
        <v>329</v>
      </c>
      <c r="G20" s="6">
        <v>1409.532</v>
      </c>
      <c r="H20" s="7">
        <v>332.61</v>
      </c>
      <c r="I20" s="20">
        <f t="shared" si="0"/>
        <v>7</v>
      </c>
      <c r="J20" s="8">
        <f t="shared" si="0"/>
        <v>-8.848999999999933</v>
      </c>
      <c r="K20" s="1">
        <f t="shared" si="0"/>
        <v>3.1299999999999955</v>
      </c>
      <c r="L20" s="10" t="s">
        <v>7</v>
      </c>
    </row>
    <row r="21" spans="1:12" ht="15">
      <c r="A21" s="2">
        <v>17</v>
      </c>
      <c r="B21" s="1" t="s">
        <v>24</v>
      </c>
      <c r="C21" s="1">
        <f>118+12</f>
        <v>130</v>
      </c>
      <c r="D21" s="9">
        <f>71.315+573.432+4.7</f>
        <v>649.4470000000001</v>
      </c>
      <c r="E21" s="1">
        <v>186.42</v>
      </c>
      <c r="F21" s="5">
        <v>123</v>
      </c>
      <c r="G21" s="6">
        <v>621.585</v>
      </c>
      <c r="H21" s="7">
        <v>179.86</v>
      </c>
      <c r="I21" s="20">
        <f t="shared" si="0"/>
        <v>7</v>
      </c>
      <c r="J21" s="8">
        <f t="shared" si="0"/>
        <v>27.86200000000008</v>
      </c>
      <c r="K21" s="1">
        <f t="shared" si="0"/>
        <v>6.559999999999974</v>
      </c>
      <c r="L21" s="1" t="s">
        <v>59</v>
      </c>
    </row>
    <row r="22" spans="1:12" ht="15">
      <c r="A22" s="2">
        <v>18</v>
      </c>
      <c r="B22" s="1" t="s">
        <v>25</v>
      </c>
      <c r="C22" s="1">
        <f>121</f>
        <v>121</v>
      </c>
      <c r="D22" s="9">
        <f>448.348+16.295</f>
        <v>464.64300000000003</v>
      </c>
      <c r="E22" s="1">
        <v>117.99</v>
      </c>
      <c r="F22" s="5">
        <v>121</v>
      </c>
      <c r="G22" s="6">
        <v>465.321</v>
      </c>
      <c r="H22" s="7">
        <v>105.92</v>
      </c>
      <c r="I22" s="2">
        <f t="shared" si="0"/>
        <v>0</v>
      </c>
      <c r="J22" s="8">
        <f t="shared" si="0"/>
        <v>-0.6779999999999973</v>
      </c>
      <c r="K22" s="19">
        <f t="shared" si="0"/>
        <v>12.069999999999993</v>
      </c>
      <c r="L22" s="1" t="s">
        <v>7</v>
      </c>
    </row>
    <row r="23" spans="1:12" ht="15">
      <c r="A23" s="2">
        <v>19</v>
      </c>
      <c r="B23" s="1" t="s">
        <v>26</v>
      </c>
      <c r="C23" s="1">
        <v>83</v>
      </c>
      <c r="D23" s="9">
        <f>8.45+532.02+34.719</f>
        <v>575.1890000000001</v>
      </c>
      <c r="E23" s="1">
        <v>155.94</v>
      </c>
      <c r="F23" s="5">
        <v>84</v>
      </c>
      <c r="G23" s="6">
        <v>547.717</v>
      </c>
      <c r="H23" s="7">
        <v>153.9</v>
      </c>
      <c r="I23" s="2">
        <f t="shared" si="0"/>
        <v>-1</v>
      </c>
      <c r="J23" s="8">
        <f t="shared" si="0"/>
        <v>27.472000000000094</v>
      </c>
      <c r="K23" s="1">
        <f t="shared" si="0"/>
        <v>2.039999999999992</v>
      </c>
      <c r="L23" s="1"/>
    </row>
    <row r="24" spans="1:12" ht="15">
      <c r="A24" s="2">
        <v>20</v>
      </c>
      <c r="B24" s="1" t="s">
        <v>27</v>
      </c>
      <c r="C24" s="1">
        <f>169+18</f>
        <v>187</v>
      </c>
      <c r="D24" s="9">
        <f>68.15+633.39</f>
        <v>701.54</v>
      </c>
      <c r="E24" s="1">
        <v>216.28</v>
      </c>
      <c r="F24" s="5">
        <v>183</v>
      </c>
      <c r="G24" s="6">
        <v>721.065</v>
      </c>
      <c r="H24" s="7">
        <v>217.29</v>
      </c>
      <c r="I24" s="2">
        <f t="shared" si="0"/>
        <v>4</v>
      </c>
      <c r="J24" s="8">
        <f t="shared" si="0"/>
        <v>-19.52500000000009</v>
      </c>
      <c r="K24" s="1">
        <f t="shared" si="0"/>
        <v>-1.009999999999991</v>
      </c>
      <c r="L24" s="1"/>
    </row>
    <row r="25" spans="1:12" ht="15">
      <c r="A25" s="2">
        <v>21</v>
      </c>
      <c r="B25" s="1" t="s">
        <v>28</v>
      </c>
      <c r="C25" s="1">
        <f>81+3</f>
        <v>84</v>
      </c>
      <c r="D25" s="9">
        <f>28.15+330.113+5.057</f>
        <v>363.32</v>
      </c>
      <c r="E25" s="1">
        <v>126.04</v>
      </c>
      <c r="F25" s="5">
        <v>87</v>
      </c>
      <c r="G25" s="6">
        <v>374.618</v>
      </c>
      <c r="H25" s="7">
        <v>124.02</v>
      </c>
      <c r="I25" s="2">
        <f t="shared" si="0"/>
        <v>-3</v>
      </c>
      <c r="J25" s="8">
        <f t="shared" si="0"/>
        <v>-11.298000000000002</v>
      </c>
      <c r="K25" s="1">
        <f t="shared" si="0"/>
        <v>2.0200000000000102</v>
      </c>
      <c r="L25" s="1"/>
    </row>
    <row r="26" spans="1:12" ht="15">
      <c r="A26" s="2">
        <v>22</v>
      </c>
      <c r="B26" s="1" t="s">
        <v>29</v>
      </c>
      <c r="C26" s="1">
        <f>137+23</f>
        <v>160</v>
      </c>
      <c r="D26" s="9">
        <f>66.575+568.907</f>
        <v>635.4820000000001</v>
      </c>
      <c r="E26" s="1">
        <v>183.77</v>
      </c>
      <c r="F26" s="5">
        <v>157</v>
      </c>
      <c r="G26" s="6">
        <v>676.857</v>
      </c>
      <c r="H26" s="7">
        <v>180.56</v>
      </c>
      <c r="I26" s="2">
        <f t="shared" si="0"/>
        <v>3</v>
      </c>
      <c r="J26" s="8">
        <f t="shared" si="0"/>
        <v>-41.374999999999886</v>
      </c>
      <c r="K26" s="1">
        <f t="shared" si="0"/>
        <v>3.210000000000008</v>
      </c>
      <c r="L26" s="1"/>
    </row>
    <row r="27" spans="1:12" ht="15">
      <c r="A27" s="2">
        <v>23</v>
      </c>
      <c r="B27" s="1" t="s">
        <v>30</v>
      </c>
      <c r="C27" s="1">
        <f>46+301</f>
        <v>347</v>
      </c>
      <c r="D27" s="9">
        <f>148.763+1284.704</f>
        <v>1433.4669999999999</v>
      </c>
      <c r="E27" s="1">
        <v>365.76</v>
      </c>
      <c r="F27" s="5">
        <v>315</v>
      </c>
      <c r="G27" s="6">
        <v>1356.115</v>
      </c>
      <c r="H27" s="7">
        <v>343.23</v>
      </c>
      <c r="I27" s="20">
        <f t="shared" si="0"/>
        <v>32</v>
      </c>
      <c r="J27" s="8">
        <f t="shared" si="0"/>
        <v>77.35199999999986</v>
      </c>
      <c r="K27" s="19">
        <f t="shared" si="0"/>
        <v>22.529999999999973</v>
      </c>
      <c r="L27" s="1" t="s">
        <v>7</v>
      </c>
    </row>
    <row r="28" spans="1:12" ht="15">
      <c r="A28" s="2">
        <v>24</v>
      </c>
      <c r="B28" s="1" t="s">
        <v>31</v>
      </c>
      <c r="C28" s="1">
        <f>3+150</f>
        <v>153</v>
      </c>
      <c r="D28" s="9">
        <f>5.1+634.376</f>
        <v>639.476</v>
      </c>
      <c r="E28" s="1">
        <v>165.08</v>
      </c>
      <c r="F28" s="5">
        <v>151</v>
      </c>
      <c r="G28" s="6">
        <v>642.472</v>
      </c>
      <c r="H28" s="7">
        <v>150.67</v>
      </c>
      <c r="I28" s="2">
        <f t="shared" si="0"/>
        <v>2</v>
      </c>
      <c r="J28" s="8">
        <f t="shared" si="0"/>
        <v>-2.995999999999981</v>
      </c>
      <c r="K28" s="19">
        <f t="shared" si="0"/>
        <v>14.410000000000025</v>
      </c>
      <c r="L28" s="1" t="s">
        <v>59</v>
      </c>
    </row>
    <row r="29" spans="1:12" ht="15">
      <c r="A29" s="2">
        <v>25</v>
      </c>
      <c r="B29" s="1" t="s">
        <v>32</v>
      </c>
      <c r="C29" s="1">
        <v>270</v>
      </c>
      <c r="D29" s="9">
        <f>34.8+1108.58+8.496</f>
        <v>1151.876</v>
      </c>
      <c r="E29" s="1">
        <v>285.11</v>
      </c>
      <c r="F29" s="5">
        <v>276</v>
      </c>
      <c r="G29" s="6">
        <v>1176.733</v>
      </c>
      <c r="H29" s="7">
        <v>276.69</v>
      </c>
      <c r="I29" s="3">
        <f t="shared" si="0"/>
        <v>-6</v>
      </c>
      <c r="J29" s="8">
        <f t="shared" si="0"/>
        <v>-24.85699999999997</v>
      </c>
      <c r="K29" s="1">
        <f t="shared" si="0"/>
        <v>8.420000000000016</v>
      </c>
      <c r="L29" s="1"/>
    </row>
    <row r="30" spans="1:12" ht="15">
      <c r="A30" s="2">
        <v>26</v>
      </c>
      <c r="B30" s="1" t="s">
        <v>33</v>
      </c>
      <c r="C30" s="1">
        <f>15+385</f>
        <v>400</v>
      </c>
      <c r="D30" s="9">
        <f>17.09+1773.543+70.08+37.25+1.5</f>
        <v>1899.4629999999997</v>
      </c>
      <c r="E30" s="1">
        <v>457.58</v>
      </c>
      <c r="F30" s="5">
        <v>394</v>
      </c>
      <c r="G30" s="6">
        <v>1766.32</v>
      </c>
      <c r="H30" s="7">
        <v>457.5</v>
      </c>
      <c r="I30" s="20">
        <f t="shared" si="0"/>
        <v>6</v>
      </c>
      <c r="J30" s="8">
        <f t="shared" si="0"/>
        <v>133.1429999999998</v>
      </c>
      <c r="K30" s="1">
        <f t="shared" si="0"/>
        <v>0.07999999999998408</v>
      </c>
      <c r="L30" s="1" t="s">
        <v>59</v>
      </c>
    </row>
    <row r="31" spans="1:12" ht="15">
      <c r="A31" s="2">
        <v>27</v>
      </c>
      <c r="B31" s="1" t="s">
        <v>34</v>
      </c>
      <c r="C31" s="1">
        <f>46+61+316</f>
        <v>423</v>
      </c>
      <c r="D31" s="9">
        <f>307.54+1348.977</f>
        <v>1656.517</v>
      </c>
      <c r="E31" s="1">
        <v>373.94</v>
      </c>
      <c r="F31" s="5">
        <v>426</v>
      </c>
      <c r="G31" s="6">
        <v>1636.585</v>
      </c>
      <c r="H31" s="7">
        <v>373.84</v>
      </c>
      <c r="I31" s="2">
        <f t="shared" si="0"/>
        <v>-3</v>
      </c>
      <c r="J31" s="8">
        <f t="shared" si="0"/>
        <v>19.932000000000016</v>
      </c>
      <c r="K31" s="1">
        <f t="shared" si="0"/>
        <v>0.10000000000002274</v>
      </c>
      <c r="L31" s="1"/>
    </row>
    <row r="32" spans="1:12" ht="15">
      <c r="A32" s="2">
        <v>28</v>
      </c>
      <c r="B32" s="1" t="s">
        <v>35</v>
      </c>
      <c r="C32" s="1">
        <f>54+230</f>
        <v>284</v>
      </c>
      <c r="D32" s="9">
        <f>254.62+1186.455</f>
        <v>1441.0749999999998</v>
      </c>
      <c r="E32" s="1">
        <v>348.94</v>
      </c>
      <c r="F32" s="5">
        <v>233</v>
      </c>
      <c r="G32" s="6">
        <v>1186.46</v>
      </c>
      <c r="H32" s="7">
        <v>262.55</v>
      </c>
      <c r="I32" s="20">
        <f t="shared" si="0"/>
        <v>51</v>
      </c>
      <c r="J32" s="8">
        <f t="shared" si="0"/>
        <v>254.61499999999978</v>
      </c>
      <c r="K32" s="19">
        <f t="shared" si="0"/>
        <v>86.38999999999999</v>
      </c>
      <c r="L32" s="1" t="s">
        <v>59</v>
      </c>
    </row>
    <row r="33" spans="1:12" ht="15">
      <c r="A33" s="2">
        <v>29</v>
      </c>
      <c r="B33" s="1" t="s">
        <v>36</v>
      </c>
      <c r="C33" s="1">
        <v>429</v>
      </c>
      <c r="D33" s="9">
        <f>1595.67+58.279</f>
        <v>1653.949</v>
      </c>
      <c r="E33" s="1">
        <v>321.25</v>
      </c>
      <c r="F33" s="5">
        <v>433</v>
      </c>
      <c r="G33" s="6">
        <v>1643.03</v>
      </c>
      <c r="H33" s="7">
        <v>318.24</v>
      </c>
      <c r="I33" s="2">
        <f t="shared" si="0"/>
        <v>-4</v>
      </c>
      <c r="J33" s="8">
        <f t="shared" si="0"/>
        <v>10.919000000000096</v>
      </c>
      <c r="K33" s="1">
        <f t="shared" si="0"/>
        <v>3.009999999999991</v>
      </c>
      <c r="L33" s="1"/>
    </row>
    <row r="34" spans="1:12" ht="15">
      <c r="A34" s="2">
        <v>30</v>
      </c>
      <c r="B34" s="1" t="s">
        <v>37</v>
      </c>
      <c r="C34" s="1">
        <f>173+17</f>
        <v>190</v>
      </c>
      <c r="D34" s="9">
        <f>92.19+656.96+4.263</f>
        <v>753.4130000000001</v>
      </c>
      <c r="E34" s="1">
        <v>244.37</v>
      </c>
      <c r="F34" s="5">
        <v>177</v>
      </c>
      <c r="G34" s="6">
        <v>745.03</v>
      </c>
      <c r="H34" s="7">
        <v>238.65</v>
      </c>
      <c r="I34" s="20">
        <f t="shared" si="0"/>
        <v>13</v>
      </c>
      <c r="J34" s="8">
        <f t="shared" si="0"/>
        <v>8.383000000000152</v>
      </c>
      <c r="K34" s="1">
        <f t="shared" si="0"/>
        <v>5.719999999999999</v>
      </c>
      <c r="L34" s="1" t="s">
        <v>7</v>
      </c>
    </row>
    <row r="35" spans="1:12" ht="15">
      <c r="A35" s="2">
        <v>31</v>
      </c>
      <c r="B35" s="1" t="s">
        <v>38</v>
      </c>
      <c r="C35" s="1">
        <f>85+35</f>
        <v>120</v>
      </c>
      <c r="D35" s="9">
        <f>135.735+443.107</f>
        <v>578.8420000000001</v>
      </c>
      <c r="E35" s="1">
        <v>143.87</v>
      </c>
      <c r="F35" s="5">
        <v>85</v>
      </c>
      <c r="G35" s="6">
        <v>464.464</v>
      </c>
      <c r="H35" s="7">
        <v>103.41</v>
      </c>
      <c r="I35" s="20">
        <f t="shared" si="0"/>
        <v>35</v>
      </c>
      <c r="J35" s="8">
        <f t="shared" si="0"/>
        <v>114.3780000000001</v>
      </c>
      <c r="K35" s="19">
        <f t="shared" si="0"/>
        <v>40.46000000000001</v>
      </c>
      <c r="L35" s="1" t="s">
        <v>59</v>
      </c>
    </row>
    <row r="36" spans="1:12" ht="15">
      <c r="A36" s="2">
        <v>32</v>
      </c>
      <c r="B36" s="1" t="s">
        <v>39</v>
      </c>
      <c r="C36" s="1">
        <f>162</f>
        <v>162</v>
      </c>
      <c r="D36" s="9">
        <f>884.335+99.257</f>
        <v>983.5920000000001</v>
      </c>
      <c r="E36" s="1">
        <v>267.57</v>
      </c>
      <c r="F36" s="5">
        <v>165</v>
      </c>
      <c r="G36" s="6">
        <v>997.482</v>
      </c>
      <c r="H36" s="7">
        <v>267.52</v>
      </c>
      <c r="I36" s="2">
        <f t="shared" si="0"/>
        <v>-3</v>
      </c>
      <c r="J36" s="8">
        <f t="shared" si="0"/>
        <v>-13.889999999999873</v>
      </c>
      <c r="K36" s="1">
        <f t="shared" si="0"/>
        <v>0.05000000000001137</v>
      </c>
      <c r="L36" s="1"/>
    </row>
    <row r="37" spans="1:12" ht="15">
      <c r="A37" s="2">
        <v>33</v>
      </c>
      <c r="B37" s="1" t="s">
        <v>40</v>
      </c>
      <c r="C37" s="1">
        <f>5+147</f>
        <v>152</v>
      </c>
      <c r="D37" s="9">
        <f>23.305+728.05</f>
        <v>751.3549999999999</v>
      </c>
      <c r="E37" s="1">
        <v>228.49</v>
      </c>
      <c r="F37" s="5">
        <v>155</v>
      </c>
      <c r="G37" s="6">
        <v>761.06</v>
      </c>
      <c r="H37" s="7">
        <v>219.28</v>
      </c>
      <c r="I37" s="2">
        <f t="shared" si="0"/>
        <v>-3</v>
      </c>
      <c r="J37" s="8">
        <f t="shared" si="0"/>
        <v>-9.705000000000041</v>
      </c>
      <c r="K37" s="1">
        <f t="shared" si="0"/>
        <v>9.210000000000008</v>
      </c>
      <c r="L37" s="1"/>
    </row>
    <row r="38" spans="1:12" ht="15">
      <c r="A38" s="2">
        <v>34</v>
      </c>
      <c r="B38" s="1" t="s">
        <v>41</v>
      </c>
      <c r="C38" s="1">
        <f>259+35</f>
        <v>294</v>
      </c>
      <c r="D38" s="9">
        <f>110.6+1203.594+3.177</f>
        <v>1317.3709999999999</v>
      </c>
      <c r="E38" s="1">
        <v>291.05</v>
      </c>
      <c r="F38" s="5">
        <v>283</v>
      </c>
      <c r="G38" s="6">
        <v>1313.375</v>
      </c>
      <c r="H38" s="7">
        <v>289.54</v>
      </c>
      <c r="I38" s="20">
        <f t="shared" si="0"/>
        <v>11</v>
      </c>
      <c r="J38" s="8">
        <f t="shared" si="0"/>
        <v>3.995999999999867</v>
      </c>
      <c r="K38" s="1">
        <f t="shared" si="0"/>
        <v>1.509999999999991</v>
      </c>
      <c r="L38" s="1" t="s">
        <v>59</v>
      </c>
    </row>
    <row r="39" spans="1:12" ht="15">
      <c r="A39" s="2">
        <v>35</v>
      </c>
      <c r="B39" s="1" t="s">
        <v>42</v>
      </c>
      <c r="C39" s="1">
        <f>266+65</f>
        <v>331</v>
      </c>
      <c r="D39" s="9">
        <f>1017.993+204.79</f>
        <v>1222.7830000000001</v>
      </c>
      <c r="E39" s="1">
        <v>319.61</v>
      </c>
      <c r="F39" s="5">
        <v>330</v>
      </c>
      <c r="G39" s="6">
        <v>1252.19</v>
      </c>
      <c r="H39" s="7">
        <v>305.78</v>
      </c>
      <c r="I39" s="2">
        <f t="shared" si="0"/>
        <v>1</v>
      </c>
      <c r="J39" s="8">
        <f t="shared" si="0"/>
        <v>-29.406999999999925</v>
      </c>
      <c r="K39" s="19">
        <f t="shared" si="0"/>
        <v>13.830000000000041</v>
      </c>
      <c r="L39" s="1" t="s">
        <v>7</v>
      </c>
    </row>
    <row r="40" spans="1:12" ht="15">
      <c r="A40" s="2">
        <v>36</v>
      </c>
      <c r="B40" s="1" t="s">
        <v>43</v>
      </c>
      <c r="C40" s="1">
        <f>211+75</f>
        <v>286</v>
      </c>
      <c r="D40" s="9">
        <f>2.6+1398.827+33.096</f>
        <v>1434.523</v>
      </c>
      <c r="E40" s="1">
        <v>306.62</v>
      </c>
      <c r="F40" s="5">
        <v>287</v>
      </c>
      <c r="G40" s="6">
        <v>1401.634</v>
      </c>
      <c r="H40" s="7">
        <v>277.68</v>
      </c>
      <c r="I40" s="2">
        <f t="shared" si="0"/>
        <v>-1</v>
      </c>
      <c r="J40" s="8">
        <f t="shared" si="0"/>
        <v>32.888999999999896</v>
      </c>
      <c r="K40" s="19">
        <f t="shared" si="0"/>
        <v>28.939999999999998</v>
      </c>
      <c r="L40" s="1" t="s">
        <v>7</v>
      </c>
    </row>
    <row r="41" spans="1:12" ht="15">
      <c r="A41" s="2">
        <v>37</v>
      </c>
      <c r="B41" s="1" t="s">
        <v>44</v>
      </c>
      <c r="C41" s="1">
        <f>24+287</f>
        <v>311</v>
      </c>
      <c r="D41" s="9">
        <f>45.64+1252.673+63.745</f>
        <v>1362.058</v>
      </c>
      <c r="E41" s="1">
        <v>301.2</v>
      </c>
      <c r="F41" s="5">
        <v>302</v>
      </c>
      <c r="G41" s="6">
        <v>1358.72</v>
      </c>
      <c r="H41" s="7">
        <v>303.87</v>
      </c>
      <c r="I41" s="20">
        <f t="shared" si="0"/>
        <v>9</v>
      </c>
      <c r="J41" s="8">
        <f t="shared" si="0"/>
        <v>3.3379999999999654</v>
      </c>
      <c r="K41" s="1">
        <f t="shared" si="0"/>
        <v>-2.670000000000016</v>
      </c>
      <c r="L41" s="1" t="s">
        <v>7</v>
      </c>
    </row>
    <row r="42" spans="1:12" ht="15">
      <c r="A42" s="2">
        <v>38</v>
      </c>
      <c r="B42" s="1" t="s">
        <v>45</v>
      </c>
      <c r="C42" s="1">
        <f>285+12</f>
        <v>297</v>
      </c>
      <c r="D42" s="9">
        <f>1194.298+32.55+14.02</f>
        <v>1240.868</v>
      </c>
      <c r="E42" s="1">
        <v>274.66</v>
      </c>
      <c r="F42" s="5">
        <v>300</v>
      </c>
      <c r="G42" s="6">
        <v>1256.8690000000001</v>
      </c>
      <c r="H42" s="7">
        <v>274.66</v>
      </c>
      <c r="I42" s="2">
        <f t="shared" si="0"/>
        <v>-3</v>
      </c>
      <c r="J42" s="8">
        <f t="shared" si="0"/>
        <v>-16.001000000000204</v>
      </c>
      <c r="K42" s="1">
        <f t="shared" si="0"/>
        <v>0</v>
      </c>
      <c r="L42" s="1"/>
    </row>
    <row r="43" spans="1:12" ht="15">
      <c r="A43" s="2">
        <v>39</v>
      </c>
      <c r="B43" s="1" t="s">
        <v>46</v>
      </c>
      <c r="C43" s="1">
        <f>19+262</f>
        <v>281</v>
      </c>
      <c r="D43" s="9">
        <f>54.4+1152.548+8.28</f>
        <v>1215.228</v>
      </c>
      <c r="E43" s="1">
        <v>407.08</v>
      </c>
      <c r="F43" s="5">
        <v>276</v>
      </c>
      <c r="G43" s="6">
        <v>1329.055</v>
      </c>
      <c r="H43" s="7">
        <v>386.73</v>
      </c>
      <c r="I43" s="20">
        <f t="shared" si="0"/>
        <v>5</v>
      </c>
      <c r="J43" s="8">
        <f t="shared" si="0"/>
        <v>-113.827</v>
      </c>
      <c r="K43" s="19">
        <f t="shared" si="0"/>
        <v>20.349999999999966</v>
      </c>
      <c r="L43" s="1" t="s">
        <v>7</v>
      </c>
    </row>
    <row r="44" spans="1:12" ht="15">
      <c r="A44" s="2">
        <v>40</v>
      </c>
      <c r="B44" s="1" t="s">
        <v>47</v>
      </c>
      <c r="C44" s="1">
        <f>430+23</f>
        <v>453</v>
      </c>
      <c r="D44" s="9">
        <f>69.15+1915.14+48.967</f>
        <v>2033.2570000000003</v>
      </c>
      <c r="E44" s="1">
        <v>562.24</v>
      </c>
      <c r="F44" s="5">
        <v>455</v>
      </c>
      <c r="G44" s="6">
        <v>1951.478</v>
      </c>
      <c r="H44" s="7">
        <v>494.31</v>
      </c>
      <c r="I44" s="2">
        <f t="shared" si="0"/>
        <v>-2</v>
      </c>
      <c r="J44" s="8">
        <f t="shared" si="0"/>
        <v>81.77900000000022</v>
      </c>
      <c r="K44" s="19">
        <f t="shared" si="0"/>
        <v>67.93</v>
      </c>
      <c r="L44" s="1" t="s">
        <v>7</v>
      </c>
    </row>
    <row r="45" spans="1:12" ht="15">
      <c r="A45" s="2">
        <v>41</v>
      </c>
      <c r="B45" s="1" t="s">
        <v>48</v>
      </c>
      <c r="C45" s="1">
        <f>122+1</f>
        <v>123</v>
      </c>
      <c r="D45" s="9">
        <f>39.86+551.994+0.9</f>
        <v>592.754</v>
      </c>
      <c r="E45" s="1">
        <v>123.26</v>
      </c>
      <c r="F45" s="5">
        <v>123</v>
      </c>
      <c r="G45" s="6">
        <v>616.46</v>
      </c>
      <c r="H45" s="7">
        <v>121.65</v>
      </c>
      <c r="I45" s="2">
        <f t="shared" si="0"/>
        <v>0</v>
      </c>
      <c r="J45" s="8">
        <f t="shared" si="0"/>
        <v>-23.706000000000017</v>
      </c>
      <c r="K45" s="1">
        <f t="shared" si="0"/>
        <v>1.6099999999999994</v>
      </c>
      <c r="L45" s="1"/>
    </row>
    <row r="46" spans="1:12" ht="15">
      <c r="A46" s="2">
        <v>42</v>
      </c>
      <c r="B46" s="1" t="s">
        <v>49</v>
      </c>
      <c r="C46" s="1">
        <f>21+254</f>
        <v>275</v>
      </c>
      <c r="D46" s="9">
        <f>1237.194+53.38+6.51+17.8</f>
        <v>1314.884</v>
      </c>
      <c r="E46" s="1">
        <v>272.89</v>
      </c>
      <c r="F46" s="5">
        <v>270</v>
      </c>
      <c r="G46" s="6">
        <v>1283.54</v>
      </c>
      <c r="H46" s="7">
        <v>265.17</v>
      </c>
      <c r="I46" s="20">
        <f t="shared" si="0"/>
        <v>5</v>
      </c>
      <c r="J46" s="8">
        <f t="shared" si="0"/>
        <v>31.34400000000005</v>
      </c>
      <c r="K46" s="1">
        <f t="shared" si="0"/>
        <v>7.71999999999997</v>
      </c>
      <c r="L46" s="1" t="s">
        <v>7</v>
      </c>
    </row>
    <row r="47" spans="1:12" ht="15">
      <c r="A47" s="2">
        <v>43</v>
      </c>
      <c r="B47" s="1" t="s">
        <v>50</v>
      </c>
      <c r="C47" s="1">
        <f>17+247</f>
        <v>264</v>
      </c>
      <c r="D47" s="9">
        <f>92.426+590.864+12.66+354.675</f>
        <v>1050.625</v>
      </c>
      <c r="E47" s="1">
        <v>312.23</v>
      </c>
      <c r="F47" s="5">
        <v>258</v>
      </c>
      <c r="G47" s="6">
        <v>1114.521</v>
      </c>
      <c r="H47" s="7">
        <v>305.76</v>
      </c>
      <c r="I47" s="20">
        <f t="shared" si="0"/>
        <v>6</v>
      </c>
      <c r="J47" s="8">
        <f t="shared" si="0"/>
        <v>-63.89599999999996</v>
      </c>
      <c r="K47" s="1">
        <f t="shared" si="0"/>
        <v>6.470000000000027</v>
      </c>
      <c r="L47" s="1" t="s">
        <v>7</v>
      </c>
    </row>
    <row r="48" spans="1:12" ht="15">
      <c r="A48" s="2">
        <v>44</v>
      </c>
      <c r="B48" s="1" t="s">
        <v>51</v>
      </c>
      <c r="C48" s="1">
        <f>371+13</f>
        <v>384</v>
      </c>
      <c r="D48" s="4">
        <f>10.22+1702.245+42.85</f>
        <v>1755.3149999999998</v>
      </c>
      <c r="E48" s="1">
        <v>367.39</v>
      </c>
      <c r="F48" s="5">
        <v>389</v>
      </c>
      <c r="G48" s="6">
        <v>1739.15</v>
      </c>
      <c r="H48" s="7">
        <v>327.75</v>
      </c>
      <c r="I48" s="2">
        <f t="shared" si="0"/>
        <v>-5</v>
      </c>
      <c r="J48" s="8">
        <f t="shared" si="0"/>
        <v>16.164999999999736</v>
      </c>
      <c r="K48" s="19">
        <f t="shared" si="0"/>
        <v>39.639999999999986</v>
      </c>
      <c r="L48" s="1" t="s">
        <v>7</v>
      </c>
    </row>
    <row r="49" spans="1:12" ht="15">
      <c r="A49" s="2">
        <v>45</v>
      </c>
      <c r="B49" s="1" t="s">
        <v>52</v>
      </c>
      <c r="C49" s="1">
        <f>20+177</f>
        <v>197</v>
      </c>
      <c r="D49" s="4">
        <f>118.05+1383.294+69.69</f>
        <v>1571.034</v>
      </c>
      <c r="E49" s="1">
        <v>390.06</v>
      </c>
      <c r="F49" s="5">
        <v>197</v>
      </c>
      <c r="G49" s="6">
        <v>1650.1589999999999</v>
      </c>
      <c r="H49" s="7">
        <v>382.85</v>
      </c>
      <c r="I49" s="2">
        <f t="shared" si="0"/>
        <v>0</v>
      </c>
      <c r="J49" s="8">
        <f t="shared" si="0"/>
        <v>-79.12499999999977</v>
      </c>
      <c r="K49" s="1">
        <f t="shared" si="0"/>
        <v>7.2099999999999795</v>
      </c>
      <c r="L49" s="1"/>
    </row>
    <row r="50" spans="1:12" s="15" customFormat="1" ht="15">
      <c r="A50" s="3">
        <v>46</v>
      </c>
      <c r="B50" s="10" t="s">
        <v>53</v>
      </c>
      <c r="C50" s="10">
        <f>153+2</f>
        <v>155</v>
      </c>
      <c r="D50" s="9">
        <f>13.89+1119.07+6.16</f>
        <v>1139.1200000000001</v>
      </c>
      <c r="E50" s="10">
        <v>287.41</v>
      </c>
      <c r="F50" s="11">
        <v>154</v>
      </c>
      <c r="G50" s="12">
        <v>1089.129</v>
      </c>
      <c r="H50" s="13">
        <v>263.12</v>
      </c>
      <c r="I50" s="3">
        <f t="shared" si="0"/>
        <v>1</v>
      </c>
      <c r="J50" s="14">
        <f t="shared" si="0"/>
        <v>49.99100000000021</v>
      </c>
      <c r="K50" s="19">
        <f t="shared" si="0"/>
        <v>24.29000000000002</v>
      </c>
      <c r="L50" s="10" t="s">
        <v>7</v>
      </c>
    </row>
    <row r="51" spans="1:12" ht="15">
      <c r="A51" s="2">
        <v>47</v>
      </c>
      <c r="B51" s="10" t="s">
        <v>54</v>
      </c>
      <c r="C51" s="1">
        <f>32</f>
        <v>32</v>
      </c>
      <c r="D51" s="4">
        <f>7.24+97.05+937.345</f>
        <v>1041.635</v>
      </c>
      <c r="E51" s="1">
        <v>223.4</v>
      </c>
      <c r="F51" s="5">
        <v>238</v>
      </c>
      <c r="G51" s="6">
        <v>945.165</v>
      </c>
      <c r="H51" s="7">
        <v>179.39</v>
      </c>
      <c r="I51" s="2">
        <f t="shared" si="0"/>
        <v>-206</v>
      </c>
      <c r="J51" s="8">
        <f t="shared" si="0"/>
        <v>96.47000000000003</v>
      </c>
      <c r="K51" s="19">
        <f t="shared" si="0"/>
        <v>44.01000000000002</v>
      </c>
      <c r="L51" s="1" t="s">
        <v>7</v>
      </c>
    </row>
    <row r="52" spans="1:12" ht="15">
      <c r="A52" s="2">
        <v>48</v>
      </c>
      <c r="B52" s="1" t="s">
        <v>55</v>
      </c>
      <c r="C52" s="1">
        <f>265+4</f>
        <v>269</v>
      </c>
      <c r="D52" s="4">
        <f>1115.836+25.605+16</f>
        <v>1157.441</v>
      </c>
      <c r="E52" s="1">
        <v>369.75</v>
      </c>
      <c r="F52" s="5">
        <v>269</v>
      </c>
      <c r="G52" s="6">
        <v>1211.988</v>
      </c>
      <c r="H52" s="7">
        <v>367.79</v>
      </c>
      <c r="I52" s="2">
        <f t="shared" si="0"/>
        <v>0</v>
      </c>
      <c r="J52" s="8">
        <f t="shared" si="0"/>
        <v>-54.547000000000025</v>
      </c>
      <c r="K52" s="1">
        <f t="shared" si="0"/>
        <v>1.9599999999999795</v>
      </c>
      <c r="L52" s="1"/>
    </row>
    <row r="53" spans="1:12" ht="15">
      <c r="A53" s="2">
        <v>49</v>
      </c>
      <c r="B53" s="1" t="s">
        <v>56</v>
      </c>
      <c r="C53" s="1">
        <f>27+118</f>
        <v>145</v>
      </c>
      <c r="D53" s="4">
        <f>703.725+108.545</f>
        <v>812.27</v>
      </c>
      <c r="E53" s="1">
        <v>216.11</v>
      </c>
      <c r="F53" s="5">
        <v>142</v>
      </c>
      <c r="G53" s="6">
        <v>890.135</v>
      </c>
      <c r="H53" s="7">
        <v>228.42</v>
      </c>
      <c r="I53" s="2">
        <f t="shared" si="0"/>
        <v>3</v>
      </c>
      <c r="J53" s="8">
        <f t="shared" si="0"/>
        <v>-77.86500000000001</v>
      </c>
      <c r="K53" s="19">
        <f t="shared" si="0"/>
        <v>-12.309999999999974</v>
      </c>
      <c r="L53" s="1" t="s">
        <v>7</v>
      </c>
    </row>
    <row r="54" spans="1:12" ht="15">
      <c r="A54" s="2">
        <v>50</v>
      </c>
      <c r="B54" s="1" t="s">
        <v>57</v>
      </c>
      <c r="C54" s="1">
        <f>201+10</f>
        <v>211</v>
      </c>
      <c r="D54" s="9">
        <f>1006.79+8.49+28.79</f>
        <v>1044.07</v>
      </c>
      <c r="E54" s="1">
        <v>228.39</v>
      </c>
      <c r="F54" s="5">
        <v>210</v>
      </c>
      <c r="G54" s="6">
        <v>1023.795</v>
      </c>
      <c r="H54" s="7">
        <v>227.39</v>
      </c>
      <c r="I54" s="2">
        <f t="shared" si="0"/>
        <v>1</v>
      </c>
      <c r="J54" s="8">
        <f t="shared" si="0"/>
        <v>20.274999999999977</v>
      </c>
      <c r="K54" s="1">
        <f t="shared" si="0"/>
        <v>1</v>
      </c>
      <c r="L54" s="1"/>
    </row>
    <row r="55" spans="1:12" ht="15">
      <c r="A55" s="1"/>
      <c r="B55" s="16" t="s">
        <v>58</v>
      </c>
      <c r="C55" s="17">
        <f aca="true" t="shared" si="1" ref="C55:H55">SUM(C5:C54)</f>
        <v>12614</v>
      </c>
      <c r="D55" s="17">
        <f t="shared" si="1"/>
        <v>56257.75130000001</v>
      </c>
      <c r="E55" s="17">
        <f t="shared" si="1"/>
        <v>14242.209999999997</v>
      </c>
      <c r="F55" s="17">
        <f t="shared" si="1"/>
        <v>12308</v>
      </c>
      <c r="G55" s="17">
        <f t="shared" si="1"/>
        <v>55668.241</v>
      </c>
      <c r="H55" s="17">
        <f t="shared" si="1"/>
        <v>13645.290000000003</v>
      </c>
      <c r="I55" s="18"/>
      <c r="J55" s="1"/>
      <c r="K55" s="1"/>
      <c r="L55" s="1"/>
    </row>
  </sheetData>
  <sheetProtection/>
  <mergeCells count="3">
    <mergeCell ref="C3:E3"/>
    <mergeCell ref="F3:H3"/>
    <mergeCell ref="I3:K3"/>
  </mergeCells>
  <printOptions/>
  <pageMargins left="0.32" right="0.25" top="0.46" bottom="0.4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21">
      <pane xSplit="2" topLeftCell="C1" activePane="topRight" state="frozen"/>
      <selection pane="topLeft" activeCell="A1" sqref="A1"/>
      <selection pane="topRight" activeCell="I62" sqref="I62"/>
    </sheetView>
  </sheetViews>
  <sheetFormatPr defaultColWidth="9.140625" defaultRowHeight="15"/>
  <cols>
    <col min="1" max="1" width="3.28125" style="28" customWidth="1"/>
    <col min="2" max="2" width="12.28125" style="0" customWidth="1"/>
    <col min="3" max="3" width="7.8515625" style="28" customWidth="1"/>
    <col min="4" max="4" width="10.8515625" style="28" bestFit="1" customWidth="1"/>
    <col min="5" max="5" width="10.421875" style="28" customWidth="1"/>
    <col min="6" max="6" width="8.8515625" style="28" customWidth="1"/>
    <col min="7" max="7" width="11.00390625" style="28" customWidth="1"/>
    <col min="8" max="8" width="10.57421875" style="28" customWidth="1"/>
    <col min="9" max="9" width="8.28125" style="35" customWidth="1"/>
    <col min="10" max="10" width="10.7109375" style="35" customWidth="1"/>
    <col min="11" max="11" width="11.57421875" style="35" customWidth="1"/>
    <col min="12" max="12" width="22.421875" style="0" customWidth="1"/>
    <col min="14" max="14" width="14.7109375" style="0" customWidth="1"/>
  </cols>
  <sheetData>
    <row r="1" spans="1:11" ht="15">
      <c r="A1" s="25"/>
      <c r="B1" s="1"/>
      <c r="C1" s="25"/>
      <c r="D1" s="43"/>
      <c r="E1" s="44"/>
      <c r="F1" s="25"/>
      <c r="G1" s="25"/>
      <c r="H1" s="25"/>
      <c r="I1" s="45" t="s">
        <v>65</v>
      </c>
      <c r="J1" s="46"/>
      <c r="K1" s="46"/>
    </row>
    <row r="2" spans="1:11" ht="15">
      <c r="A2" s="25"/>
      <c r="B2" s="1"/>
      <c r="C2" s="25"/>
      <c r="D2" s="43"/>
      <c r="E2" s="44"/>
      <c r="F2" s="25"/>
      <c r="G2" s="43"/>
      <c r="H2" s="43" t="s">
        <v>66</v>
      </c>
      <c r="I2" s="45"/>
      <c r="J2" s="46"/>
      <c r="K2" s="46"/>
    </row>
    <row r="3" spans="1:11" ht="15">
      <c r="A3" s="25"/>
      <c r="B3" s="1"/>
      <c r="C3" s="57" t="s">
        <v>0</v>
      </c>
      <c r="D3" s="57"/>
      <c r="E3" s="57"/>
      <c r="F3" s="58" t="s">
        <v>1</v>
      </c>
      <c r="G3" s="58"/>
      <c r="H3" s="58"/>
      <c r="I3" s="59" t="s">
        <v>2</v>
      </c>
      <c r="J3" s="59"/>
      <c r="K3" s="59"/>
    </row>
    <row r="4" spans="1:11" ht="51">
      <c r="A4" s="25"/>
      <c r="B4" s="48" t="s">
        <v>3</v>
      </c>
      <c r="C4" s="49" t="s">
        <v>4</v>
      </c>
      <c r="D4" s="49" t="s">
        <v>5</v>
      </c>
      <c r="E4" s="49" t="s">
        <v>6</v>
      </c>
      <c r="F4" s="49" t="s">
        <v>4</v>
      </c>
      <c r="G4" s="49" t="s">
        <v>5</v>
      </c>
      <c r="H4" s="49" t="s">
        <v>6</v>
      </c>
      <c r="I4" s="50" t="s">
        <v>4</v>
      </c>
      <c r="J4" s="50" t="s">
        <v>5</v>
      </c>
      <c r="K4" s="50" t="s">
        <v>6</v>
      </c>
    </row>
    <row r="5" spans="1:12" ht="15" customHeight="1">
      <c r="A5" s="26">
        <v>1</v>
      </c>
      <c r="B5" s="1" t="s">
        <v>8</v>
      </c>
      <c r="C5" s="25">
        <v>240</v>
      </c>
      <c r="D5" s="36">
        <v>1091.3304000000005</v>
      </c>
      <c r="E5" s="36">
        <v>30090.898839999998</v>
      </c>
      <c r="F5" s="25">
        <v>229</v>
      </c>
      <c r="G5" s="36">
        <v>1057.18</v>
      </c>
      <c r="H5" s="36">
        <v>29545.4</v>
      </c>
      <c r="I5" s="40">
        <f aca="true" t="shared" si="0" ref="I5:I36">C5-F5</f>
        <v>11</v>
      </c>
      <c r="J5" s="52">
        <f aca="true" t="shared" si="1" ref="J5:J36">D5-G5</f>
        <v>34.150400000000445</v>
      </c>
      <c r="K5" s="42">
        <f aca="true" t="shared" si="2" ref="K5:K36">E5-H5</f>
        <v>545.4988399999966</v>
      </c>
      <c r="L5" s="21"/>
    </row>
    <row r="6" spans="1:12" ht="15">
      <c r="A6" s="26">
        <v>2</v>
      </c>
      <c r="B6" s="1" t="s">
        <v>9</v>
      </c>
      <c r="C6" s="25">
        <v>230</v>
      </c>
      <c r="D6" s="36">
        <v>1017.3449999999997</v>
      </c>
      <c r="E6" s="36">
        <v>24593.899999999998</v>
      </c>
      <c r="F6" s="25">
        <v>230</v>
      </c>
      <c r="G6" s="36">
        <v>1015.395</v>
      </c>
      <c r="H6" s="36">
        <v>24453.82</v>
      </c>
      <c r="I6" s="51">
        <f t="shared" si="0"/>
        <v>0</v>
      </c>
      <c r="J6" s="52">
        <f t="shared" si="1"/>
        <v>1.9499999999997044</v>
      </c>
      <c r="K6" s="53">
        <f t="shared" si="2"/>
        <v>140.0799999999981</v>
      </c>
      <c r="L6" s="21"/>
    </row>
    <row r="7" spans="1:12" ht="15">
      <c r="A7" s="26">
        <v>3</v>
      </c>
      <c r="B7" s="1" t="s">
        <v>10</v>
      </c>
      <c r="C7" s="25">
        <v>112</v>
      </c>
      <c r="D7" s="36">
        <v>580.7672000000002</v>
      </c>
      <c r="E7" s="36">
        <v>17612.76974</v>
      </c>
      <c r="F7" s="25">
        <v>113</v>
      </c>
      <c r="G7" s="36">
        <v>551.36</v>
      </c>
      <c r="H7" s="36">
        <v>16085.7</v>
      </c>
      <c r="I7" s="51">
        <f t="shared" si="0"/>
        <v>-1</v>
      </c>
      <c r="J7" s="52">
        <f t="shared" si="1"/>
        <v>29.407200000000216</v>
      </c>
      <c r="K7" s="42">
        <f t="shared" si="2"/>
        <v>1527.069739999999</v>
      </c>
      <c r="L7" s="21"/>
    </row>
    <row r="8" spans="1:12" ht="15">
      <c r="A8" s="26">
        <v>4</v>
      </c>
      <c r="B8" s="1" t="s">
        <v>11</v>
      </c>
      <c r="C8" s="25">
        <v>501</v>
      </c>
      <c r="D8" s="36">
        <v>2071.0989999999993</v>
      </c>
      <c r="E8" s="36">
        <v>51656.97036000001</v>
      </c>
      <c r="F8" s="25">
        <v>504</v>
      </c>
      <c r="G8" s="36">
        <v>2058.255</v>
      </c>
      <c r="H8" s="36">
        <v>51617.100000000006</v>
      </c>
      <c r="I8" s="51">
        <f t="shared" si="0"/>
        <v>-3</v>
      </c>
      <c r="J8" s="52">
        <f t="shared" si="1"/>
        <v>12.843999999999141</v>
      </c>
      <c r="K8" s="53">
        <f t="shared" si="2"/>
        <v>39.8703600000008</v>
      </c>
      <c r="L8" s="21"/>
    </row>
    <row r="9" spans="1:12" ht="15">
      <c r="A9" s="26">
        <v>5</v>
      </c>
      <c r="B9" s="1" t="s">
        <v>12</v>
      </c>
      <c r="C9" s="25">
        <v>273</v>
      </c>
      <c r="D9" s="36">
        <v>1264.1339999999987</v>
      </c>
      <c r="E9" s="36">
        <v>34785.457989999995</v>
      </c>
      <c r="F9" s="25">
        <v>271</v>
      </c>
      <c r="G9" s="36">
        <v>1245.24</v>
      </c>
      <c r="H9" s="36">
        <v>34737.340000000004</v>
      </c>
      <c r="I9" s="51">
        <f t="shared" si="0"/>
        <v>2</v>
      </c>
      <c r="J9" s="52">
        <f t="shared" si="1"/>
        <v>18.89399999999864</v>
      </c>
      <c r="K9" s="53">
        <f t="shared" si="2"/>
        <v>48.11798999999155</v>
      </c>
      <c r="L9" s="21"/>
    </row>
    <row r="10" spans="1:12" ht="15">
      <c r="A10" s="26">
        <v>6</v>
      </c>
      <c r="B10" s="1" t="s">
        <v>13</v>
      </c>
      <c r="C10" s="25">
        <v>501</v>
      </c>
      <c r="D10" s="36">
        <v>2191.3299999999995</v>
      </c>
      <c r="E10" s="36">
        <v>59537.81659000002</v>
      </c>
      <c r="F10" s="25">
        <v>474</v>
      </c>
      <c r="G10" s="36">
        <v>2143.18</v>
      </c>
      <c r="H10" s="36">
        <v>59782.07</v>
      </c>
      <c r="I10" s="40">
        <f t="shared" si="0"/>
        <v>27</v>
      </c>
      <c r="J10" s="52">
        <f t="shared" si="1"/>
        <v>48.149999999999636</v>
      </c>
      <c r="K10" s="53">
        <f t="shared" si="2"/>
        <v>-244.25340999998298</v>
      </c>
      <c r="L10" s="21"/>
    </row>
    <row r="11" spans="1:12" ht="15">
      <c r="A11" s="26">
        <v>7</v>
      </c>
      <c r="B11" s="1" t="s">
        <v>14</v>
      </c>
      <c r="C11" s="25">
        <v>307</v>
      </c>
      <c r="D11" s="36">
        <v>1139.9299999999998</v>
      </c>
      <c r="E11" s="36">
        <v>26303.059999999994</v>
      </c>
      <c r="F11" s="25">
        <v>304</v>
      </c>
      <c r="G11" s="36">
        <v>1111.825</v>
      </c>
      <c r="H11" s="36">
        <v>25067</v>
      </c>
      <c r="I11" s="40">
        <f t="shared" si="0"/>
        <v>3</v>
      </c>
      <c r="J11" s="52">
        <f t="shared" si="1"/>
        <v>28.10499999999979</v>
      </c>
      <c r="K11" s="42">
        <f t="shared" si="2"/>
        <v>1236.059999999994</v>
      </c>
      <c r="L11" s="21"/>
    </row>
    <row r="12" spans="1:12" ht="15">
      <c r="A12" s="26">
        <v>8</v>
      </c>
      <c r="B12" s="1" t="s">
        <v>15</v>
      </c>
      <c r="C12" s="25">
        <v>96</v>
      </c>
      <c r="D12" s="36">
        <v>326.80999999999995</v>
      </c>
      <c r="E12" s="36">
        <v>9578.380000000001</v>
      </c>
      <c r="F12" s="25">
        <v>92</v>
      </c>
      <c r="G12" s="36">
        <v>314.35</v>
      </c>
      <c r="H12" s="36">
        <v>9689.88</v>
      </c>
      <c r="I12" s="51">
        <f t="shared" si="0"/>
        <v>4</v>
      </c>
      <c r="J12" s="52">
        <f t="shared" si="1"/>
        <v>12.459999999999923</v>
      </c>
      <c r="K12" s="53">
        <f t="shared" si="2"/>
        <v>-111.49999999999818</v>
      </c>
      <c r="L12" s="21"/>
    </row>
    <row r="13" spans="1:15" ht="15">
      <c r="A13" s="26">
        <v>9</v>
      </c>
      <c r="B13" s="1" t="s">
        <v>16</v>
      </c>
      <c r="C13" s="25">
        <v>116</v>
      </c>
      <c r="D13" s="36">
        <v>532.005</v>
      </c>
      <c r="E13" s="36">
        <v>13760.260000000002</v>
      </c>
      <c r="F13" s="25">
        <v>112</v>
      </c>
      <c r="G13" s="36">
        <v>508.161</v>
      </c>
      <c r="H13" s="36">
        <v>14278.7</v>
      </c>
      <c r="I13" s="51">
        <f t="shared" si="0"/>
        <v>4</v>
      </c>
      <c r="J13" s="52">
        <f t="shared" si="1"/>
        <v>23.843999999999994</v>
      </c>
      <c r="K13" s="53">
        <f t="shared" si="2"/>
        <v>-518.4399999999987</v>
      </c>
      <c r="L13" s="21"/>
      <c r="M13" s="33"/>
      <c r="N13" s="34"/>
      <c r="O13" s="33"/>
    </row>
    <row r="14" spans="1:12" ht="15">
      <c r="A14" s="26">
        <v>10</v>
      </c>
      <c r="B14" s="1" t="s">
        <v>17</v>
      </c>
      <c r="C14" s="25">
        <v>346</v>
      </c>
      <c r="D14" s="36">
        <v>1532.8004999999994</v>
      </c>
      <c r="E14" s="36">
        <v>33901.1948</v>
      </c>
      <c r="F14" s="25">
        <v>343</v>
      </c>
      <c r="G14" s="36">
        <v>1475.935</v>
      </c>
      <c r="H14" s="36">
        <v>33894.9</v>
      </c>
      <c r="I14" s="51">
        <f t="shared" si="0"/>
        <v>3</v>
      </c>
      <c r="J14" s="52">
        <f t="shared" si="1"/>
        <v>56.86549999999943</v>
      </c>
      <c r="K14" s="53">
        <f t="shared" si="2"/>
        <v>6.29479999999603</v>
      </c>
      <c r="L14" s="21"/>
    </row>
    <row r="15" spans="1:12" ht="15">
      <c r="A15" s="26">
        <v>11</v>
      </c>
      <c r="B15" s="1" t="s">
        <v>18</v>
      </c>
      <c r="C15" s="25">
        <v>532</v>
      </c>
      <c r="D15" s="36">
        <v>2580.4669583333334</v>
      </c>
      <c r="E15" s="36">
        <v>75514.89272</v>
      </c>
      <c r="F15" s="25">
        <v>521</v>
      </c>
      <c r="G15" s="36">
        <v>2362.815</v>
      </c>
      <c r="H15" s="36">
        <v>71338.2</v>
      </c>
      <c r="I15" s="40">
        <f t="shared" si="0"/>
        <v>11</v>
      </c>
      <c r="J15" s="52">
        <f t="shared" si="1"/>
        <v>217.65195833333337</v>
      </c>
      <c r="K15" s="42">
        <f t="shared" si="2"/>
        <v>4176.692720000006</v>
      </c>
      <c r="L15" s="21"/>
    </row>
    <row r="16" spans="1:12" ht="15">
      <c r="A16" s="26">
        <v>12</v>
      </c>
      <c r="B16" s="1" t="s">
        <v>19</v>
      </c>
      <c r="C16" s="25">
        <v>224</v>
      </c>
      <c r="D16" s="36">
        <v>841.3473244444444</v>
      </c>
      <c r="E16" s="36">
        <v>21809.127999999997</v>
      </c>
      <c r="F16" s="25">
        <v>220</v>
      </c>
      <c r="G16" s="36">
        <v>809.3</v>
      </c>
      <c r="H16" s="36">
        <v>21874.870000000003</v>
      </c>
      <c r="I16" s="51">
        <f t="shared" si="0"/>
        <v>4</v>
      </c>
      <c r="J16" s="52">
        <f t="shared" si="1"/>
        <v>32.047324444444484</v>
      </c>
      <c r="K16" s="53">
        <f t="shared" si="2"/>
        <v>-65.74200000000565</v>
      </c>
      <c r="L16" s="21"/>
    </row>
    <row r="17" spans="1:13" ht="15">
      <c r="A17" s="26">
        <v>13</v>
      </c>
      <c r="B17" s="1" t="s">
        <v>20</v>
      </c>
      <c r="C17" s="25">
        <v>162</v>
      </c>
      <c r="D17" s="36">
        <v>663.9580000000003</v>
      </c>
      <c r="E17" s="36">
        <v>13196.300999999998</v>
      </c>
      <c r="F17" s="25">
        <v>161</v>
      </c>
      <c r="G17" s="36">
        <v>650.346</v>
      </c>
      <c r="H17" s="36">
        <v>11650.57</v>
      </c>
      <c r="I17" s="51">
        <f t="shared" si="0"/>
        <v>1</v>
      </c>
      <c r="J17" s="52">
        <f t="shared" si="1"/>
        <v>13.612000000000307</v>
      </c>
      <c r="K17" s="42">
        <f t="shared" si="2"/>
        <v>1545.730999999998</v>
      </c>
      <c r="L17" s="21"/>
      <c r="M17" s="23"/>
    </row>
    <row r="18" spans="1:13" ht="15">
      <c r="A18" s="26">
        <v>14</v>
      </c>
      <c r="B18" s="1" t="s">
        <v>21</v>
      </c>
      <c r="C18" s="25">
        <v>229</v>
      </c>
      <c r="D18" s="36">
        <v>981.919</v>
      </c>
      <c r="E18" s="36">
        <v>26821.2697921</v>
      </c>
      <c r="F18" s="25">
        <v>229</v>
      </c>
      <c r="G18" s="36">
        <v>958.6099999999999</v>
      </c>
      <c r="H18" s="36">
        <v>27395.479999999996</v>
      </c>
      <c r="I18" s="51">
        <f t="shared" si="0"/>
        <v>0</v>
      </c>
      <c r="J18" s="52">
        <f t="shared" si="1"/>
        <v>23.309000000000083</v>
      </c>
      <c r="K18" s="53">
        <f t="shared" si="2"/>
        <v>-574.210207899996</v>
      </c>
      <c r="L18" s="21"/>
      <c r="M18" s="24"/>
    </row>
    <row r="19" spans="1:12" ht="15">
      <c r="A19" s="26">
        <v>15</v>
      </c>
      <c r="B19" s="1" t="s">
        <v>22</v>
      </c>
      <c r="C19" s="25">
        <v>550</v>
      </c>
      <c r="D19" s="36">
        <v>2426.0919999999987</v>
      </c>
      <c r="E19" s="36">
        <v>63427.54342</v>
      </c>
      <c r="F19" s="25">
        <v>525</v>
      </c>
      <c r="G19" s="36">
        <v>2303.68</v>
      </c>
      <c r="H19" s="36">
        <v>63350.909999999996</v>
      </c>
      <c r="I19" s="40">
        <f t="shared" si="0"/>
        <v>25</v>
      </c>
      <c r="J19" s="52">
        <f t="shared" si="1"/>
        <v>122.4119999999989</v>
      </c>
      <c r="K19" s="53">
        <f t="shared" si="2"/>
        <v>76.63342000000557</v>
      </c>
      <c r="L19" s="21"/>
    </row>
    <row r="20" spans="1:12" ht="15">
      <c r="A20" s="26">
        <v>16</v>
      </c>
      <c r="B20" s="1" t="s">
        <v>23</v>
      </c>
      <c r="C20" s="25">
        <v>357</v>
      </c>
      <c r="D20" s="36">
        <v>1469.0260000000005</v>
      </c>
      <c r="E20" s="36">
        <v>36130.17</v>
      </c>
      <c r="F20" s="25">
        <v>356</v>
      </c>
      <c r="G20" s="36">
        <v>1504.55</v>
      </c>
      <c r="H20" s="36">
        <v>35815.8</v>
      </c>
      <c r="I20" s="51">
        <f t="shared" si="0"/>
        <v>1</v>
      </c>
      <c r="J20" s="52">
        <f t="shared" si="1"/>
        <v>-35.52399999999943</v>
      </c>
      <c r="K20" s="53">
        <f t="shared" si="2"/>
        <v>314.36999999999534</v>
      </c>
      <c r="L20" s="21"/>
    </row>
    <row r="21" spans="1:12" ht="15">
      <c r="A21" s="26">
        <v>17</v>
      </c>
      <c r="B21" s="1" t="s">
        <v>24</v>
      </c>
      <c r="C21" s="25">
        <v>175</v>
      </c>
      <c r="D21" s="36">
        <v>934.7910000000002</v>
      </c>
      <c r="E21" s="36">
        <v>25195.806170000003</v>
      </c>
      <c r="F21" s="25">
        <v>158</v>
      </c>
      <c r="G21" s="36">
        <v>920.88</v>
      </c>
      <c r="H21" s="36">
        <v>25228.399999999998</v>
      </c>
      <c r="I21" s="40">
        <f t="shared" si="0"/>
        <v>17</v>
      </c>
      <c r="J21" s="52">
        <f t="shared" si="1"/>
        <v>13.911000000000172</v>
      </c>
      <c r="K21" s="53">
        <f t="shared" si="2"/>
        <v>-32.59382999999434</v>
      </c>
      <c r="L21" s="21"/>
    </row>
    <row r="22" spans="1:12" ht="15">
      <c r="A22" s="26">
        <v>18</v>
      </c>
      <c r="B22" s="1" t="s">
        <v>25</v>
      </c>
      <c r="C22" s="25">
        <v>127</v>
      </c>
      <c r="D22" s="36">
        <v>507.36</v>
      </c>
      <c r="E22" s="36">
        <v>11454.490499999998</v>
      </c>
      <c r="F22" s="25">
        <v>125</v>
      </c>
      <c r="G22" s="36">
        <v>489.641</v>
      </c>
      <c r="H22" s="36">
        <v>10655.85</v>
      </c>
      <c r="I22" s="51">
        <f t="shared" si="0"/>
        <v>2</v>
      </c>
      <c r="J22" s="52">
        <f t="shared" si="1"/>
        <v>17.718999999999994</v>
      </c>
      <c r="K22" s="42">
        <f t="shared" si="2"/>
        <v>798.6404999999977</v>
      </c>
      <c r="L22" s="21"/>
    </row>
    <row r="23" spans="1:12" ht="15">
      <c r="A23" s="26">
        <v>19</v>
      </c>
      <c r="B23" s="1" t="s">
        <v>26</v>
      </c>
      <c r="C23" s="25">
        <v>93</v>
      </c>
      <c r="D23" s="36">
        <v>575.2360000000001</v>
      </c>
      <c r="E23" s="36">
        <v>18289.86</v>
      </c>
      <c r="F23" s="25">
        <v>94</v>
      </c>
      <c r="G23" s="36">
        <v>606.24</v>
      </c>
      <c r="H23" s="36">
        <v>18289.87</v>
      </c>
      <c r="I23" s="51">
        <f t="shared" si="0"/>
        <v>-1</v>
      </c>
      <c r="J23" s="52">
        <f t="shared" si="1"/>
        <v>-31.003999999999905</v>
      </c>
      <c r="K23" s="53">
        <f t="shared" si="2"/>
        <v>-0.00999999999839929</v>
      </c>
      <c r="L23" s="21"/>
    </row>
    <row r="24" spans="1:12" ht="15">
      <c r="A24" s="26">
        <v>20</v>
      </c>
      <c r="B24" s="1" t="s">
        <v>27</v>
      </c>
      <c r="C24" s="25">
        <v>219</v>
      </c>
      <c r="D24" s="36">
        <v>205.636</v>
      </c>
      <c r="E24" s="36">
        <v>27584.590000000004</v>
      </c>
      <c r="F24" s="25">
        <v>210</v>
      </c>
      <c r="G24" s="36">
        <v>840.056</v>
      </c>
      <c r="H24" s="36">
        <v>27834.859999999997</v>
      </c>
      <c r="I24" s="40">
        <f t="shared" si="0"/>
        <v>9</v>
      </c>
      <c r="J24" s="52">
        <f t="shared" si="1"/>
        <v>-634.4200000000001</v>
      </c>
      <c r="K24" s="53">
        <f t="shared" si="2"/>
        <v>-250.26999999999316</v>
      </c>
      <c r="L24" s="21"/>
    </row>
    <row r="25" spans="1:12" ht="15">
      <c r="A25" s="26">
        <v>21</v>
      </c>
      <c r="B25" s="1" t="s">
        <v>28</v>
      </c>
      <c r="C25" s="25">
        <v>100</v>
      </c>
      <c r="D25" s="36">
        <v>463.71530000000007</v>
      </c>
      <c r="E25" s="36">
        <v>17273.094</v>
      </c>
      <c r="F25" s="25">
        <v>100</v>
      </c>
      <c r="G25" s="36">
        <v>460.89300000000003</v>
      </c>
      <c r="H25" s="36">
        <v>17273.09</v>
      </c>
      <c r="I25" s="51">
        <f t="shared" si="0"/>
        <v>0</v>
      </c>
      <c r="J25" s="52">
        <f t="shared" si="1"/>
        <v>2.822300000000041</v>
      </c>
      <c r="K25" s="53">
        <f t="shared" si="2"/>
        <v>0.004000000000814907</v>
      </c>
      <c r="L25" s="21"/>
    </row>
    <row r="26" spans="1:12" ht="15">
      <c r="A26" s="26">
        <v>22</v>
      </c>
      <c r="B26" s="1" t="s">
        <v>29</v>
      </c>
      <c r="C26" s="25">
        <v>207</v>
      </c>
      <c r="D26" s="36">
        <v>819.5749999999998</v>
      </c>
      <c r="E26" s="36">
        <v>22927.516</v>
      </c>
      <c r="F26" s="25">
        <v>204</v>
      </c>
      <c r="G26" s="36">
        <v>808.744</v>
      </c>
      <c r="H26" s="36">
        <v>22914.769999999997</v>
      </c>
      <c r="I26" s="51">
        <f t="shared" si="0"/>
        <v>3</v>
      </c>
      <c r="J26" s="52">
        <f t="shared" si="1"/>
        <v>10.83099999999979</v>
      </c>
      <c r="K26" s="53">
        <f t="shared" si="2"/>
        <v>12.746000000002823</v>
      </c>
      <c r="L26" s="21"/>
    </row>
    <row r="27" spans="1:12" ht="15">
      <c r="A27" s="26">
        <v>23</v>
      </c>
      <c r="B27" s="1" t="s">
        <v>30</v>
      </c>
      <c r="C27" s="25">
        <v>353</v>
      </c>
      <c r="D27" s="36">
        <v>1483.4777999999988</v>
      </c>
      <c r="E27" s="36">
        <v>37669.68381000001</v>
      </c>
      <c r="F27" s="25">
        <v>353</v>
      </c>
      <c r="G27" s="36">
        <v>1488.285</v>
      </c>
      <c r="H27" s="36">
        <v>38987.42</v>
      </c>
      <c r="I27" s="51">
        <f t="shared" si="0"/>
        <v>0</v>
      </c>
      <c r="J27" s="52">
        <f t="shared" si="1"/>
        <v>-4.80720000000133</v>
      </c>
      <c r="K27" s="42">
        <f t="shared" si="2"/>
        <v>-1317.7361899999887</v>
      </c>
      <c r="L27" s="21"/>
    </row>
    <row r="28" spans="1:12" ht="15">
      <c r="A28" s="26">
        <v>24</v>
      </c>
      <c r="B28" s="1" t="s">
        <v>31</v>
      </c>
      <c r="C28" s="25">
        <v>168</v>
      </c>
      <c r="D28" s="36">
        <v>709.6790000000001</v>
      </c>
      <c r="E28" s="36">
        <v>18734.993000000002</v>
      </c>
      <c r="F28" s="25">
        <v>168</v>
      </c>
      <c r="G28" s="36">
        <v>719.039</v>
      </c>
      <c r="H28" s="36">
        <v>18805.53</v>
      </c>
      <c r="I28" s="51">
        <f t="shared" si="0"/>
        <v>0</v>
      </c>
      <c r="J28" s="52">
        <f t="shared" si="1"/>
        <v>-9.3599999999999</v>
      </c>
      <c r="K28" s="53">
        <f t="shared" si="2"/>
        <v>-70.53699999999662</v>
      </c>
      <c r="L28" s="21"/>
    </row>
    <row r="29" spans="1:12" ht="15">
      <c r="A29" s="26">
        <v>25</v>
      </c>
      <c r="B29" s="1" t="s">
        <v>32</v>
      </c>
      <c r="C29" s="25">
        <v>277</v>
      </c>
      <c r="D29" s="36">
        <v>1200.7229999999997</v>
      </c>
      <c r="E29" s="36">
        <v>31763.160600000003</v>
      </c>
      <c r="F29" s="25">
        <v>280</v>
      </c>
      <c r="G29" s="36">
        <v>1199.539</v>
      </c>
      <c r="H29" s="36">
        <v>31399.96</v>
      </c>
      <c r="I29" s="51">
        <f t="shared" si="0"/>
        <v>-3</v>
      </c>
      <c r="J29" s="52">
        <f t="shared" si="1"/>
        <v>1.1839999999997417</v>
      </c>
      <c r="K29" s="53">
        <f t="shared" si="2"/>
        <v>363.20060000000376</v>
      </c>
      <c r="L29" s="21"/>
    </row>
    <row r="30" spans="1:12" ht="15">
      <c r="A30" s="26">
        <v>26</v>
      </c>
      <c r="B30" s="1" t="s">
        <v>33</v>
      </c>
      <c r="C30" s="25">
        <v>437</v>
      </c>
      <c r="D30" s="36">
        <v>1964.4721999999995</v>
      </c>
      <c r="E30" s="36">
        <v>51982.43940799999</v>
      </c>
      <c r="F30" s="25">
        <v>434</v>
      </c>
      <c r="G30" s="36">
        <v>1919.3899999999999</v>
      </c>
      <c r="H30" s="36">
        <v>50840.35</v>
      </c>
      <c r="I30" s="51">
        <f t="shared" si="0"/>
        <v>3</v>
      </c>
      <c r="J30" s="52">
        <f t="shared" si="1"/>
        <v>45.0821999999996</v>
      </c>
      <c r="K30" s="42">
        <f t="shared" si="2"/>
        <v>1142.0894079999925</v>
      </c>
      <c r="L30" s="21"/>
    </row>
    <row r="31" spans="1:12" ht="15">
      <c r="A31" s="26">
        <v>27</v>
      </c>
      <c r="B31" s="1" t="s">
        <v>34</v>
      </c>
      <c r="C31" s="25">
        <v>436</v>
      </c>
      <c r="D31" s="36">
        <v>1688.1920000000005</v>
      </c>
      <c r="E31" s="36">
        <v>38374.29000000002</v>
      </c>
      <c r="F31" s="25">
        <v>433</v>
      </c>
      <c r="G31" s="36">
        <v>1660.265</v>
      </c>
      <c r="H31" s="36">
        <v>38364.32</v>
      </c>
      <c r="I31" s="51">
        <f t="shared" si="0"/>
        <v>3</v>
      </c>
      <c r="J31" s="52">
        <f t="shared" si="1"/>
        <v>27.927000000000362</v>
      </c>
      <c r="K31" s="53">
        <f t="shared" si="2"/>
        <v>9.970000000022992</v>
      </c>
      <c r="L31" s="21"/>
    </row>
    <row r="32" spans="1:12" ht="15">
      <c r="A32" s="26">
        <v>28</v>
      </c>
      <c r="B32" s="1" t="s">
        <v>35</v>
      </c>
      <c r="C32" s="25">
        <v>317</v>
      </c>
      <c r="D32" s="36">
        <v>1560.6000000000001</v>
      </c>
      <c r="E32" s="36">
        <v>37601.37000000001</v>
      </c>
      <c r="F32" s="25">
        <v>317</v>
      </c>
      <c r="G32" s="36">
        <v>1555.375</v>
      </c>
      <c r="H32" s="36">
        <v>37421.05</v>
      </c>
      <c r="I32" s="51">
        <f t="shared" si="0"/>
        <v>0</v>
      </c>
      <c r="J32" s="52">
        <f t="shared" si="1"/>
        <v>5.225000000000136</v>
      </c>
      <c r="K32" s="53">
        <f t="shared" si="2"/>
        <v>180.32000000000698</v>
      </c>
      <c r="L32" s="21"/>
    </row>
    <row r="33" spans="1:12" ht="15">
      <c r="A33" s="26">
        <v>29</v>
      </c>
      <c r="B33" s="1" t="s">
        <v>36</v>
      </c>
      <c r="C33" s="25">
        <v>444</v>
      </c>
      <c r="D33" s="36">
        <v>1661.884999999999</v>
      </c>
      <c r="E33" s="36">
        <v>32449.290000000005</v>
      </c>
      <c r="F33" s="25">
        <v>444</v>
      </c>
      <c r="G33" s="36">
        <v>1651.13</v>
      </c>
      <c r="H33" s="36">
        <v>32284.379999999997</v>
      </c>
      <c r="I33" s="51">
        <f t="shared" si="0"/>
        <v>0</v>
      </c>
      <c r="J33" s="52">
        <f t="shared" si="1"/>
        <v>10.754999999998972</v>
      </c>
      <c r="K33" s="53">
        <f t="shared" si="2"/>
        <v>164.91000000000713</v>
      </c>
      <c r="L33" s="21"/>
    </row>
    <row r="34" spans="1:12" ht="15">
      <c r="A34" s="26">
        <v>30</v>
      </c>
      <c r="B34" s="1" t="s">
        <v>37</v>
      </c>
      <c r="C34" s="25">
        <v>201</v>
      </c>
      <c r="D34" s="36">
        <v>832.9440000000002</v>
      </c>
      <c r="E34" s="36">
        <v>28225.221436999997</v>
      </c>
      <c r="F34" s="25">
        <v>196</v>
      </c>
      <c r="G34" s="36">
        <v>795.745</v>
      </c>
      <c r="H34" s="36">
        <v>27759.15</v>
      </c>
      <c r="I34" s="51">
        <f t="shared" si="0"/>
        <v>5</v>
      </c>
      <c r="J34" s="52">
        <f t="shared" si="1"/>
        <v>37.19900000000018</v>
      </c>
      <c r="K34" s="53">
        <f t="shared" si="2"/>
        <v>466.07143699999506</v>
      </c>
      <c r="L34" s="21"/>
    </row>
    <row r="35" spans="1:12" ht="15">
      <c r="A35" s="26">
        <v>31</v>
      </c>
      <c r="B35" s="1" t="s">
        <v>38</v>
      </c>
      <c r="C35" s="25">
        <v>145</v>
      </c>
      <c r="D35" s="36">
        <v>693.4120000000001</v>
      </c>
      <c r="E35" s="36">
        <v>17341.003976762</v>
      </c>
      <c r="F35" s="25">
        <v>144</v>
      </c>
      <c r="G35" s="36">
        <v>691.725</v>
      </c>
      <c r="H35" s="36">
        <v>17322.18</v>
      </c>
      <c r="I35" s="51">
        <f t="shared" si="0"/>
        <v>1</v>
      </c>
      <c r="J35" s="52">
        <f t="shared" si="1"/>
        <v>1.6870000000001255</v>
      </c>
      <c r="K35" s="53">
        <f t="shared" si="2"/>
        <v>18.823976761999802</v>
      </c>
      <c r="L35" s="21"/>
    </row>
    <row r="36" spans="1:12" ht="15">
      <c r="A36" s="26">
        <v>32</v>
      </c>
      <c r="B36" s="1" t="s">
        <v>39</v>
      </c>
      <c r="C36" s="25">
        <v>194</v>
      </c>
      <c r="D36" s="36">
        <v>1158.363</v>
      </c>
      <c r="E36" s="36">
        <v>31331.65000000001</v>
      </c>
      <c r="F36" s="25">
        <v>200</v>
      </c>
      <c r="G36" s="36">
        <v>1167.762</v>
      </c>
      <c r="H36" s="36">
        <v>31331.65</v>
      </c>
      <c r="I36" s="51">
        <f t="shared" si="0"/>
        <v>-6</v>
      </c>
      <c r="J36" s="52">
        <f t="shared" si="1"/>
        <v>-9.398999999999887</v>
      </c>
      <c r="K36" s="53">
        <f t="shared" si="2"/>
        <v>0</v>
      </c>
      <c r="L36" s="21"/>
    </row>
    <row r="37" spans="1:12" ht="15">
      <c r="A37" s="26">
        <v>33</v>
      </c>
      <c r="B37" s="1" t="s">
        <v>40</v>
      </c>
      <c r="C37" s="25">
        <v>200</v>
      </c>
      <c r="D37" s="36">
        <v>979.3110000000001</v>
      </c>
      <c r="E37" s="36">
        <v>30295.02260000001</v>
      </c>
      <c r="F37" s="25">
        <v>169</v>
      </c>
      <c r="G37" s="36">
        <v>855.761</v>
      </c>
      <c r="H37" s="36">
        <v>27378.219999999998</v>
      </c>
      <c r="I37" s="40">
        <f aca="true" t="shared" si="3" ref="I37:I55">C37-F37</f>
        <v>31</v>
      </c>
      <c r="J37" s="52">
        <f aca="true" t="shared" si="4" ref="J37:J55">D37-G37</f>
        <v>123.55000000000018</v>
      </c>
      <c r="K37" s="42">
        <f aca="true" t="shared" si="5" ref="K37:K55">E37-H37</f>
        <v>2916.8026000000136</v>
      </c>
      <c r="L37" s="21"/>
    </row>
    <row r="38" spans="1:12" ht="15">
      <c r="A38" s="26">
        <v>34</v>
      </c>
      <c r="B38" s="1" t="s">
        <v>41</v>
      </c>
      <c r="C38" s="25">
        <v>314</v>
      </c>
      <c r="D38" s="36">
        <v>1365.3940000000002</v>
      </c>
      <c r="E38" s="36">
        <v>32141.42914</v>
      </c>
      <c r="F38" s="25">
        <v>314</v>
      </c>
      <c r="G38" s="36">
        <v>1368.83</v>
      </c>
      <c r="H38" s="36">
        <v>32062.28</v>
      </c>
      <c r="I38" s="51">
        <f t="shared" si="3"/>
        <v>0</v>
      </c>
      <c r="J38" s="52">
        <f t="shared" si="4"/>
        <v>-3.4359999999996944</v>
      </c>
      <c r="K38" s="53">
        <f t="shared" si="5"/>
        <v>79.14914000000135</v>
      </c>
      <c r="L38" s="21"/>
    </row>
    <row r="39" spans="1:12" ht="15">
      <c r="A39" s="26">
        <v>35</v>
      </c>
      <c r="B39" s="1" t="s">
        <v>42</v>
      </c>
      <c r="C39" s="25">
        <v>389</v>
      </c>
      <c r="D39" s="36">
        <v>1399.933000000001</v>
      </c>
      <c r="E39" s="36">
        <v>38104.313600000016</v>
      </c>
      <c r="F39" s="25">
        <v>387</v>
      </c>
      <c r="G39" s="36">
        <v>1408.095</v>
      </c>
      <c r="H39" s="36">
        <v>36488.02</v>
      </c>
      <c r="I39" s="51">
        <f t="shared" si="3"/>
        <v>2</v>
      </c>
      <c r="J39" s="52">
        <f t="shared" si="4"/>
        <v>-8.161999999999125</v>
      </c>
      <c r="K39" s="42">
        <f t="shared" si="5"/>
        <v>1616.293600000019</v>
      </c>
      <c r="L39" s="21"/>
    </row>
    <row r="40" spans="1:12" ht="15">
      <c r="A40" s="26">
        <v>36</v>
      </c>
      <c r="B40" s="1" t="s">
        <v>43</v>
      </c>
      <c r="C40" s="25">
        <v>303</v>
      </c>
      <c r="D40" s="36">
        <v>1557.7364125000001</v>
      </c>
      <c r="E40" s="36">
        <v>33878.61429999998</v>
      </c>
      <c r="F40" s="25">
        <v>287</v>
      </c>
      <c r="G40" s="36">
        <v>1403.034</v>
      </c>
      <c r="H40" s="36">
        <v>33052.28</v>
      </c>
      <c r="I40" s="40">
        <f t="shared" si="3"/>
        <v>16</v>
      </c>
      <c r="J40" s="52">
        <f t="shared" si="4"/>
        <v>154.70241250000004</v>
      </c>
      <c r="K40" s="42">
        <f t="shared" si="5"/>
        <v>826.3342999999804</v>
      </c>
      <c r="L40" s="21"/>
    </row>
    <row r="41" spans="1:12" ht="15">
      <c r="A41" s="26">
        <v>37</v>
      </c>
      <c r="B41" s="1" t="s">
        <v>44</v>
      </c>
      <c r="C41" s="25">
        <v>341</v>
      </c>
      <c r="D41" s="36">
        <v>1482.743422222223</v>
      </c>
      <c r="E41" s="36">
        <v>34770.72400000002</v>
      </c>
      <c r="F41" s="25">
        <v>336</v>
      </c>
      <c r="G41" s="36">
        <v>1465.25</v>
      </c>
      <c r="H41" s="36">
        <v>34660.69</v>
      </c>
      <c r="I41" s="40">
        <f t="shared" si="3"/>
        <v>5</v>
      </c>
      <c r="J41" s="52">
        <f t="shared" si="4"/>
        <v>17.49342222222299</v>
      </c>
      <c r="K41" s="53">
        <f t="shared" si="5"/>
        <v>110.0340000000142</v>
      </c>
      <c r="L41" s="21"/>
    </row>
    <row r="42" spans="1:12" ht="15">
      <c r="A42" s="26">
        <v>38</v>
      </c>
      <c r="B42" s="1" t="s">
        <v>45</v>
      </c>
      <c r="C42" s="25">
        <v>340</v>
      </c>
      <c r="D42" s="36">
        <v>1381.5839999999994</v>
      </c>
      <c r="E42" s="36">
        <v>29914.438250000007</v>
      </c>
      <c r="F42" s="25">
        <v>340</v>
      </c>
      <c r="G42" s="36">
        <v>1395.661</v>
      </c>
      <c r="H42" s="36">
        <v>30053.71</v>
      </c>
      <c r="I42" s="51">
        <f t="shared" si="3"/>
        <v>0</v>
      </c>
      <c r="J42" s="52">
        <f t="shared" si="4"/>
        <v>-14.07700000000068</v>
      </c>
      <c r="K42" s="53">
        <f t="shared" si="5"/>
        <v>-139.2717499999926</v>
      </c>
      <c r="L42" s="21"/>
    </row>
    <row r="43" spans="1:12" ht="15">
      <c r="A43" s="26">
        <v>39</v>
      </c>
      <c r="B43" s="1" t="s">
        <v>46</v>
      </c>
      <c r="C43" s="25">
        <v>304</v>
      </c>
      <c r="D43" s="36">
        <v>1402.655</v>
      </c>
      <c r="E43" s="36">
        <v>41922.295160000016</v>
      </c>
      <c r="F43" s="25">
        <v>303</v>
      </c>
      <c r="G43" s="36">
        <v>1412.23</v>
      </c>
      <c r="H43" s="36">
        <v>41726.57</v>
      </c>
      <c r="I43" s="51">
        <f t="shared" si="3"/>
        <v>1</v>
      </c>
      <c r="J43" s="52">
        <f t="shared" si="4"/>
        <v>-9.575000000000045</v>
      </c>
      <c r="K43" s="53">
        <f t="shared" si="5"/>
        <v>195.72516000001633</v>
      </c>
      <c r="L43" s="21"/>
    </row>
    <row r="44" spans="1:12" ht="15">
      <c r="A44" s="26">
        <v>40</v>
      </c>
      <c r="B44" s="1" t="s">
        <v>47</v>
      </c>
      <c r="C44" s="25">
        <v>483</v>
      </c>
      <c r="D44" s="36">
        <v>2258.65441</v>
      </c>
      <c r="E44" s="36">
        <v>55020.841226000004</v>
      </c>
      <c r="F44" s="25">
        <v>486</v>
      </c>
      <c r="G44" s="36">
        <v>2205.026</v>
      </c>
      <c r="H44" s="36">
        <v>54859.75</v>
      </c>
      <c r="I44" s="51">
        <f t="shared" si="3"/>
        <v>-3</v>
      </c>
      <c r="J44" s="52">
        <f t="shared" si="4"/>
        <v>53.62841000000026</v>
      </c>
      <c r="K44" s="53">
        <f t="shared" si="5"/>
        <v>161.0912260000041</v>
      </c>
      <c r="L44" s="21"/>
    </row>
    <row r="45" spans="1:12" ht="15">
      <c r="A45" s="26">
        <v>41</v>
      </c>
      <c r="B45" s="1" t="s">
        <v>48</v>
      </c>
      <c r="C45" s="25">
        <v>132</v>
      </c>
      <c r="D45" s="36">
        <v>650.974</v>
      </c>
      <c r="E45" s="36">
        <v>13178.820000000003</v>
      </c>
      <c r="F45" s="25">
        <v>132</v>
      </c>
      <c r="G45" s="36">
        <v>649.5699999999999</v>
      </c>
      <c r="H45" s="36">
        <v>13178.82</v>
      </c>
      <c r="I45" s="51">
        <f t="shared" si="3"/>
        <v>0</v>
      </c>
      <c r="J45" s="52">
        <f t="shared" si="4"/>
        <v>1.40400000000011</v>
      </c>
      <c r="K45" s="53">
        <f t="shared" si="5"/>
        <v>0</v>
      </c>
      <c r="L45" s="21"/>
    </row>
    <row r="46" spans="1:12" ht="15">
      <c r="A46" s="26">
        <v>42</v>
      </c>
      <c r="B46" s="1" t="s">
        <v>49</v>
      </c>
      <c r="C46" s="25">
        <v>297</v>
      </c>
      <c r="D46" s="36">
        <v>1388.1289999999988</v>
      </c>
      <c r="E46" s="36">
        <v>28222.96187</v>
      </c>
      <c r="F46" s="25">
        <v>294</v>
      </c>
      <c r="G46" s="36">
        <v>1350.1100000000001</v>
      </c>
      <c r="H46" s="36">
        <v>28225.84</v>
      </c>
      <c r="I46" s="51">
        <f t="shared" si="3"/>
        <v>3</v>
      </c>
      <c r="J46" s="52">
        <f t="shared" si="4"/>
        <v>38.01899999999864</v>
      </c>
      <c r="K46" s="53">
        <f t="shared" si="5"/>
        <v>-2.878130000000965</v>
      </c>
      <c r="L46" s="21"/>
    </row>
    <row r="47" spans="1:12" ht="15">
      <c r="A47" s="26">
        <v>43</v>
      </c>
      <c r="B47" s="1" t="s">
        <v>50</v>
      </c>
      <c r="C47" s="25">
        <v>310</v>
      </c>
      <c r="D47" s="36">
        <v>1308.6242</v>
      </c>
      <c r="E47" s="36">
        <v>38953.433433421014</v>
      </c>
      <c r="F47" s="25">
        <v>318</v>
      </c>
      <c r="G47" s="36">
        <v>1299.4720000000002</v>
      </c>
      <c r="H47" s="36">
        <v>38625.83</v>
      </c>
      <c r="I47" s="51">
        <f t="shared" si="3"/>
        <v>-8</v>
      </c>
      <c r="J47" s="52">
        <f t="shared" si="4"/>
        <v>9.152199999999766</v>
      </c>
      <c r="K47" s="53">
        <f t="shared" si="5"/>
        <v>327.6034334210126</v>
      </c>
      <c r="L47" s="21"/>
    </row>
    <row r="48" spans="1:13" ht="15">
      <c r="A48" s="26">
        <v>44</v>
      </c>
      <c r="B48" s="1" t="s">
        <v>51</v>
      </c>
      <c r="C48" s="25">
        <v>425</v>
      </c>
      <c r="D48" s="36">
        <v>1872.2730000000004</v>
      </c>
      <c r="E48" s="36">
        <v>37447.01799999999</v>
      </c>
      <c r="F48" s="25">
        <v>417</v>
      </c>
      <c r="G48" s="36">
        <v>1825.3</v>
      </c>
      <c r="H48" s="36">
        <v>34562.25</v>
      </c>
      <c r="I48" s="40">
        <f t="shared" si="3"/>
        <v>8</v>
      </c>
      <c r="J48" s="52">
        <f t="shared" si="4"/>
        <v>46.97300000000041</v>
      </c>
      <c r="K48" s="42">
        <f t="shared" si="5"/>
        <v>2884.767999999989</v>
      </c>
      <c r="L48" s="21"/>
      <c r="M48" s="15"/>
    </row>
    <row r="49" spans="1:12" ht="15">
      <c r="A49" s="26">
        <v>45</v>
      </c>
      <c r="B49" s="1" t="s">
        <v>52</v>
      </c>
      <c r="C49" s="25">
        <v>213</v>
      </c>
      <c r="D49" s="36">
        <v>1658.209999999999</v>
      </c>
      <c r="E49" s="36">
        <v>40139.423039999994</v>
      </c>
      <c r="F49" s="25">
        <v>213</v>
      </c>
      <c r="G49" s="36">
        <v>1727.7</v>
      </c>
      <c r="H49" s="36">
        <v>40146.73</v>
      </c>
      <c r="I49" s="51">
        <f t="shared" si="3"/>
        <v>0</v>
      </c>
      <c r="J49" s="52">
        <f t="shared" si="4"/>
        <v>-69.49000000000115</v>
      </c>
      <c r="K49" s="53">
        <f t="shared" si="5"/>
        <v>-7.306960000008985</v>
      </c>
      <c r="L49" s="21"/>
    </row>
    <row r="50" spans="1:13" s="15" customFormat="1" ht="15">
      <c r="A50" s="27">
        <v>46</v>
      </c>
      <c r="B50" s="10" t="s">
        <v>53</v>
      </c>
      <c r="C50" s="25">
        <v>170</v>
      </c>
      <c r="D50" s="36">
        <v>1227.227</v>
      </c>
      <c r="E50" s="36">
        <v>32352.301920000005</v>
      </c>
      <c r="F50" s="25">
        <v>162</v>
      </c>
      <c r="G50" s="36">
        <v>1121.443</v>
      </c>
      <c r="H50" s="36">
        <v>28486.93</v>
      </c>
      <c r="I50" s="40">
        <f t="shared" si="3"/>
        <v>8</v>
      </c>
      <c r="J50" s="52">
        <f t="shared" si="4"/>
        <v>105.7840000000001</v>
      </c>
      <c r="K50" s="42">
        <f t="shared" si="5"/>
        <v>3865.371920000005</v>
      </c>
      <c r="L50" s="21"/>
      <c r="M50"/>
    </row>
    <row r="51" spans="1:12" ht="15">
      <c r="A51" s="26">
        <v>47</v>
      </c>
      <c r="B51" s="10" t="s">
        <v>54</v>
      </c>
      <c r="C51" s="25">
        <v>306</v>
      </c>
      <c r="D51" s="36">
        <v>1160.0150000000003</v>
      </c>
      <c r="E51" s="36">
        <v>24694.92398</v>
      </c>
      <c r="F51" s="25">
        <v>306</v>
      </c>
      <c r="G51" s="36">
        <v>1149.8400000000001</v>
      </c>
      <c r="H51" s="36">
        <v>23983.09</v>
      </c>
      <c r="I51" s="51">
        <f t="shared" si="3"/>
        <v>0</v>
      </c>
      <c r="J51" s="52">
        <f t="shared" si="4"/>
        <v>10.175000000000182</v>
      </c>
      <c r="K51" s="42">
        <f t="shared" si="5"/>
        <v>711.8339799999994</v>
      </c>
      <c r="L51" s="21"/>
    </row>
    <row r="52" spans="1:12" ht="15">
      <c r="A52" s="26">
        <v>48</v>
      </c>
      <c r="B52" s="1" t="s">
        <v>55</v>
      </c>
      <c r="C52" s="25">
        <v>330</v>
      </c>
      <c r="D52" s="36">
        <v>1468.744999999999</v>
      </c>
      <c r="E52" s="36">
        <v>44147.12771999999</v>
      </c>
      <c r="F52" s="25">
        <v>322</v>
      </c>
      <c r="G52" s="36">
        <v>1442.1570000000002</v>
      </c>
      <c r="H52" s="36">
        <v>44003.61</v>
      </c>
      <c r="I52" s="40">
        <f t="shared" si="3"/>
        <v>8</v>
      </c>
      <c r="J52" s="52">
        <f t="shared" si="4"/>
        <v>26.58799999999883</v>
      </c>
      <c r="K52" s="53">
        <f t="shared" si="5"/>
        <v>143.5177199999889</v>
      </c>
      <c r="L52" s="21"/>
    </row>
    <row r="53" spans="1:12" ht="15">
      <c r="A53" s="26">
        <v>49</v>
      </c>
      <c r="B53" s="1" t="s">
        <v>56</v>
      </c>
      <c r="C53" s="25">
        <v>183</v>
      </c>
      <c r="D53" s="36">
        <v>1023.4574999999998</v>
      </c>
      <c r="E53" s="36">
        <v>26672.905502862</v>
      </c>
      <c r="F53" s="25">
        <v>178</v>
      </c>
      <c r="G53" s="36">
        <v>1019.195</v>
      </c>
      <c r="H53" s="36">
        <v>27021.890000000003</v>
      </c>
      <c r="I53" s="40">
        <f t="shared" si="3"/>
        <v>5</v>
      </c>
      <c r="J53" s="52">
        <f t="shared" si="4"/>
        <v>4.262499999999704</v>
      </c>
      <c r="K53" s="53">
        <f t="shared" si="5"/>
        <v>-348.9844971380044</v>
      </c>
      <c r="L53" s="21"/>
    </row>
    <row r="54" spans="1:12" ht="15">
      <c r="A54" s="26">
        <v>50</v>
      </c>
      <c r="B54" s="1" t="s">
        <v>57</v>
      </c>
      <c r="C54" s="25">
        <v>237</v>
      </c>
      <c r="D54" s="36">
        <v>1087.6165866666665</v>
      </c>
      <c r="E54" s="36">
        <v>25291.66409</v>
      </c>
      <c r="F54" s="25">
        <v>236</v>
      </c>
      <c r="G54" s="36">
        <v>1116.845</v>
      </c>
      <c r="H54" s="36">
        <v>25088.53</v>
      </c>
      <c r="I54" s="51">
        <f t="shared" si="3"/>
        <v>1</v>
      </c>
      <c r="J54" s="52">
        <f t="shared" si="4"/>
        <v>-29.228413333333492</v>
      </c>
      <c r="K54" s="53">
        <f t="shared" si="5"/>
        <v>203.13408999999956</v>
      </c>
      <c r="L54" s="21"/>
    </row>
    <row r="55" spans="1:12" ht="15">
      <c r="A55" s="25"/>
      <c r="B55" s="16" t="s">
        <v>58</v>
      </c>
      <c r="C55" s="47">
        <f aca="true" t="shared" si="6" ref="C55:H55">SUM(C5:C54)</f>
        <v>13946</v>
      </c>
      <c r="D55" s="42">
        <f t="shared" si="6"/>
        <v>61843.70421416666</v>
      </c>
      <c r="E55" s="42">
        <f t="shared" si="6"/>
        <v>1594066.7299861447</v>
      </c>
      <c r="F55" s="47">
        <f t="shared" si="6"/>
        <v>13744</v>
      </c>
      <c r="G55" s="42">
        <f t="shared" si="6"/>
        <v>61260.41</v>
      </c>
      <c r="H55" s="42">
        <f t="shared" si="6"/>
        <v>1570895.6100000003</v>
      </c>
      <c r="I55" s="40">
        <f t="shared" si="3"/>
        <v>202</v>
      </c>
      <c r="J55" s="41">
        <f t="shared" si="4"/>
        <v>583.2942141666572</v>
      </c>
      <c r="K55" s="42">
        <f t="shared" si="5"/>
        <v>23171.11998614436</v>
      </c>
      <c r="L55" s="21"/>
    </row>
    <row r="59" ht="15">
      <c r="G59" s="37"/>
    </row>
    <row r="63" ht="15">
      <c r="L63" s="33"/>
    </row>
    <row r="65" ht="15">
      <c r="I65" s="38"/>
    </row>
    <row r="66" ht="15">
      <c r="I66" s="38"/>
    </row>
    <row r="67" ht="15">
      <c r="I67" s="39"/>
    </row>
  </sheetData>
  <sheetProtection/>
  <mergeCells count="3">
    <mergeCell ref="C3:E3"/>
    <mergeCell ref="F3:H3"/>
    <mergeCell ref="I3:K3"/>
  </mergeCells>
  <printOptions/>
  <pageMargins left="0.32" right="0.25" top="0.16" bottom="0.17" header="0.16" footer="0.17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7">
      <selection activeCell="D2" sqref="D2:F51"/>
    </sheetView>
  </sheetViews>
  <sheetFormatPr defaultColWidth="9.140625" defaultRowHeight="15"/>
  <cols>
    <col min="1" max="1" width="10.7109375" style="30" customWidth="1"/>
    <col min="2" max="2" width="24.140625" style="0" customWidth="1"/>
    <col min="3" max="3" width="21.8515625" style="0" customWidth="1"/>
    <col min="4" max="4" width="14.28125" style="0" customWidth="1"/>
    <col min="5" max="5" width="24.00390625" style="0" customWidth="1"/>
    <col min="6" max="6" width="26.421875" style="30" customWidth="1"/>
  </cols>
  <sheetData>
    <row r="1" spans="1:6" ht="15">
      <c r="A1" s="29" t="s">
        <v>61</v>
      </c>
      <c r="B1" s="2" t="s">
        <v>3</v>
      </c>
      <c r="C1" s="31" t="s">
        <v>62</v>
      </c>
      <c r="D1" s="28" t="s">
        <v>63</v>
      </c>
      <c r="E1" s="28" t="s">
        <v>64</v>
      </c>
      <c r="F1" s="30" t="s">
        <v>6</v>
      </c>
    </row>
    <row r="2" spans="1:6" ht="15">
      <c r="A2" s="26">
        <v>1</v>
      </c>
      <c r="B2" s="1" t="s">
        <v>8</v>
      </c>
      <c r="C2" s="32" t="s">
        <v>8</v>
      </c>
      <c r="D2" s="28">
        <v>173</v>
      </c>
      <c r="E2" s="28">
        <v>282.2206</v>
      </c>
      <c r="F2" s="30">
        <v>268.9864</v>
      </c>
    </row>
    <row r="3" spans="1:6" ht="15">
      <c r="A3" s="26">
        <v>2</v>
      </c>
      <c r="B3" s="1" t="s">
        <v>9</v>
      </c>
      <c r="C3" s="32" t="s">
        <v>9</v>
      </c>
      <c r="D3" s="28">
        <v>177</v>
      </c>
      <c r="E3" s="28">
        <v>336.8854</v>
      </c>
      <c r="F3" s="30">
        <v>228.6124</v>
      </c>
    </row>
    <row r="4" spans="1:6" ht="15">
      <c r="A4" s="26">
        <v>3</v>
      </c>
      <c r="B4" s="1" t="s">
        <v>10</v>
      </c>
      <c r="C4" s="32" t="s">
        <v>10</v>
      </c>
      <c r="D4" s="28">
        <v>74</v>
      </c>
      <c r="E4" s="28">
        <v>122.57230000000001</v>
      </c>
      <c r="F4" s="30">
        <v>128.06</v>
      </c>
    </row>
    <row r="5" spans="1:6" ht="15">
      <c r="A5" s="26">
        <v>4</v>
      </c>
      <c r="B5" s="1" t="s">
        <v>11</v>
      </c>
      <c r="C5" s="32" t="s">
        <v>11</v>
      </c>
      <c r="D5" s="28">
        <v>302</v>
      </c>
      <c r="E5" s="28">
        <v>903.3321000000001</v>
      </c>
      <c r="F5" s="30">
        <v>490.5536</v>
      </c>
    </row>
    <row r="6" spans="1:6" ht="15">
      <c r="A6" s="26">
        <v>5</v>
      </c>
      <c r="B6" s="1" t="s">
        <v>12</v>
      </c>
      <c r="C6" s="32" t="s">
        <v>12</v>
      </c>
      <c r="D6" s="28">
        <v>146</v>
      </c>
      <c r="E6" s="28">
        <v>430.4441</v>
      </c>
      <c r="F6" s="30">
        <v>309.0239</v>
      </c>
    </row>
    <row r="7" spans="1:6" ht="15">
      <c r="A7" s="26">
        <v>6</v>
      </c>
      <c r="B7" s="1" t="s">
        <v>13</v>
      </c>
      <c r="C7" s="32" t="s">
        <v>13</v>
      </c>
      <c r="D7" s="28">
        <v>300</v>
      </c>
      <c r="E7" s="28">
        <v>654.5484</v>
      </c>
      <c r="F7" s="30">
        <v>545.1851</v>
      </c>
    </row>
    <row r="8" spans="1:6" ht="15">
      <c r="A8" s="26">
        <v>7</v>
      </c>
      <c r="B8" s="1" t="s">
        <v>14</v>
      </c>
      <c r="C8" s="32" t="s">
        <v>14</v>
      </c>
      <c r="D8" s="28">
        <v>180</v>
      </c>
      <c r="E8" s="28">
        <v>516.1901</v>
      </c>
      <c r="F8" s="30">
        <v>214.3234</v>
      </c>
    </row>
    <row r="9" spans="1:6" ht="15">
      <c r="A9" s="26">
        <v>8</v>
      </c>
      <c r="B9" s="1" t="s">
        <v>15</v>
      </c>
      <c r="C9" s="32" t="s">
        <v>15</v>
      </c>
      <c r="D9" s="28">
        <v>30</v>
      </c>
      <c r="E9" s="28">
        <v>237.6552</v>
      </c>
      <c r="F9" s="30">
        <v>73.1456</v>
      </c>
    </row>
    <row r="10" spans="1:6" ht="15">
      <c r="A10" s="26">
        <v>9</v>
      </c>
      <c r="B10" s="1" t="s">
        <v>16</v>
      </c>
      <c r="C10" s="32" t="s">
        <v>16</v>
      </c>
      <c r="D10" s="28">
        <v>51</v>
      </c>
      <c r="E10" s="28">
        <v>319.031</v>
      </c>
      <c r="F10" s="30">
        <v>135.5065</v>
      </c>
    </row>
    <row r="11" spans="1:6" ht="15">
      <c r="A11" s="26">
        <v>10</v>
      </c>
      <c r="B11" s="1" t="s">
        <v>17</v>
      </c>
      <c r="C11" s="32" t="s">
        <v>17</v>
      </c>
      <c r="D11" s="28">
        <v>220</v>
      </c>
      <c r="E11" s="28">
        <v>394.7314</v>
      </c>
      <c r="F11" s="30">
        <v>274.3853</v>
      </c>
    </row>
    <row r="12" spans="1:6" ht="15">
      <c r="A12" s="26">
        <v>11</v>
      </c>
      <c r="B12" s="1" t="s">
        <v>18</v>
      </c>
      <c r="C12" s="32" t="s">
        <v>18</v>
      </c>
      <c r="D12" s="28">
        <v>299</v>
      </c>
      <c r="E12" s="28">
        <v>558.4203</v>
      </c>
      <c r="F12" s="30">
        <v>547.1774</v>
      </c>
    </row>
    <row r="13" spans="1:6" ht="15">
      <c r="A13" s="26">
        <v>12</v>
      </c>
      <c r="B13" s="1" t="s">
        <v>19</v>
      </c>
      <c r="C13" s="32" t="s">
        <v>19</v>
      </c>
      <c r="D13" s="28">
        <v>89</v>
      </c>
      <c r="E13" s="28">
        <v>303.9462</v>
      </c>
      <c r="F13" s="30">
        <v>140.6246</v>
      </c>
    </row>
    <row r="14" spans="1:6" ht="15">
      <c r="A14" s="26">
        <v>13</v>
      </c>
      <c r="B14" s="1" t="s">
        <v>20</v>
      </c>
      <c r="C14" s="32" t="s">
        <v>20</v>
      </c>
      <c r="D14" s="28">
        <v>75</v>
      </c>
      <c r="E14" s="28">
        <v>224.3691</v>
      </c>
      <c r="F14" s="30">
        <v>73.4676</v>
      </c>
    </row>
    <row r="15" spans="1:6" ht="15">
      <c r="A15" s="26">
        <v>14</v>
      </c>
      <c r="B15" s="1" t="s">
        <v>21</v>
      </c>
      <c r="C15" s="32" t="s">
        <v>21</v>
      </c>
      <c r="D15" s="28">
        <v>128</v>
      </c>
      <c r="E15" s="28">
        <v>310.2943</v>
      </c>
      <c r="F15" s="30">
        <v>218.2426</v>
      </c>
    </row>
    <row r="16" spans="1:6" ht="15">
      <c r="A16" s="26">
        <v>15</v>
      </c>
      <c r="B16" s="1" t="s">
        <v>22</v>
      </c>
      <c r="C16" s="32" t="s">
        <v>22</v>
      </c>
      <c r="D16" s="28">
        <v>318</v>
      </c>
      <c r="E16" s="28">
        <v>782.2728</v>
      </c>
      <c r="F16" s="30">
        <v>576.4985</v>
      </c>
    </row>
    <row r="17" spans="1:6" ht="15">
      <c r="A17" s="26">
        <v>16</v>
      </c>
      <c r="B17" s="1" t="s">
        <v>23</v>
      </c>
      <c r="C17" s="32" t="s">
        <v>23</v>
      </c>
      <c r="D17" s="28">
        <v>265</v>
      </c>
      <c r="E17" s="28">
        <v>469.2139</v>
      </c>
      <c r="F17" s="30">
        <v>346.1034</v>
      </c>
    </row>
    <row r="18" spans="1:6" ht="15">
      <c r="A18" s="26">
        <v>17</v>
      </c>
      <c r="B18" s="1" t="s">
        <v>24</v>
      </c>
      <c r="C18" s="32" t="s">
        <v>24</v>
      </c>
      <c r="D18" s="28">
        <v>77</v>
      </c>
      <c r="E18" s="28">
        <v>257.1726</v>
      </c>
      <c r="F18" s="30">
        <v>190.832</v>
      </c>
    </row>
    <row r="19" spans="1:6" ht="15">
      <c r="A19" s="26">
        <v>18</v>
      </c>
      <c r="B19" s="1" t="s">
        <v>25</v>
      </c>
      <c r="C19" s="32" t="s">
        <v>25</v>
      </c>
      <c r="D19" s="28">
        <v>51</v>
      </c>
      <c r="E19" s="28">
        <v>321.77819999999997</v>
      </c>
      <c r="F19" s="30">
        <v>88.2657</v>
      </c>
    </row>
    <row r="20" spans="1:6" ht="15">
      <c r="A20" s="26">
        <v>19</v>
      </c>
      <c r="B20" s="1" t="s">
        <v>26</v>
      </c>
      <c r="C20" s="32" t="s">
        <v>26</v>
      </c>
      <c r="D20" s="28">
        <v>41</v>
      </c>
      <c r="E20" s="28">
        <v>235.851</v>
      </c>
      <c r="F20" s="30">
        <v>146.6764</v>
      </c>
    </row>
    <row r="21" spans="1:6" ht="15">
      <c r="A21" s="26">
        <v>20</v>
      </c>
      <c r="B21" s="1" t="s">
        <v>27</v>
      </c>
      <c r="C21" s="32" t="s">
        <v>27</v>
      </c>
      <c r="D21" s="28">
        <v>133</v>
      </c>
      <c r="E21" s="28">
        <v>293.4246</v>
      </c>
      <c r="F21" s="30">
        <v>250.9019</v>
      </c>
    </row>
    <row r="22" spans="1:6" ht="15">
      <c r="A22" s="26">
        <v>21</v>
      </c>
      <c r="B22" s="1" t="s">
        <v>28</v>
      </c>
      <c r="C22" s="32" t="s">
        <v>28</v>
      </c>
      <c r="D22" s="28">
        <v>47</v>
      </c>
      <c r="E22" s="28">
        <v>197.3331</v>
      </c>
      <c r="F22" s="30">
        <v>104.7186</v>
      </c>
    </row>
    <row r="23" spans="1:6" ht="15">
      <c r="A23" s="26">
        <v>22</v>
      </c>
      <c r="B23" s="1" t="s">
        <v>29</v>
      </c>
      <c r="C23" s="32" t="s">
        <v>29</v>
      </c>
      <c r="D23" s="28">
        <v>106</v>
      </c>
      <c r="E23" s="28">
        <v>331.4525</v>
      </c>
      <c r="F23" s="30">
        <v>170.5782</v>
      </c>
    </row>
    <row r="24" spans="1:6" ht="15">
      <c r="A24" s="26">
        <v>23</v>
      </c>
      <c r="B24" s="1" t="s">
        <v>30</v>
      </c>
      <c r="C24" s="32" t="s">
        <v>30</v>
      </c>
      <c r="D24" s="28">
        <v>261</v>
      </c>
      <c r="E24" s="28">
        <v>399.6871</v>
      </c>
      <c r="F24" s="30">
        <v>360.5357</v>
      </c>
    </row>
    <row r="25" spans="1:6" ht="15">
      <c r="A25" s="26">
        <v>24</v>
      </c>
      <c r="B25" s="1" t="s">
        <v>31</v>
      </c>
      <c r="C25" s="32" t="s">
        <v>31</v>
      </c>
      <c r="D25" s="28">
        <v>87</v>
      </c>
      <c r="E25" s="28">
        <v>278.3297</v>
      </c>
      <c r="F25" s="30">
        <v>138.7885</v>
      </c>
    </row>
    <row r="26" spans="1:6" ht="15">
      <c r="A26" s="26">
        <v>25</v>
      </c>
      <c r="B26" s="1" t="s">
        <v>32</v>
      </c>
      <c r="C26" s="32" t="s">
        <v>32</v>
      </c>
      <c r="D26" s="28">
        <v>101</v>
      </c>
      <c r="E26" s="28">
        <v>785.449</v>
      </c>
      <c r="F26" s="30">
        <v>288.6323</v>
      </c>
    </row>
    <row r="27" spans="1:6" ht="15">
      <c r="A27" s="26">
        <v>26</v>
      </c>
      <c r="B27" s="1" t="s">
        <v>33</v>
      </c>
      <c r="C27" s="32" t="s">
        <v>33</v>
      </c>
      <c r="D27" s="28">
        <v>186</v>
      </c>
      <c r="E27" s="28">
        <v>983.8754</v>
      </c>
      <c r="F27" s="30">
        <v>464.2998</v>
      </c>
    </row>
    <row r="28" spans="1:6" ht="15">
      <c r="A28" s="26">
        <v>27</v>
      </c>
      <c r="B28" s="1" t="s">
        <v>34</v>
      </c>
      <c r="C28" s="32" t="s">
        <v>34</v>
      </c>
      <c r="D28" s="28">
        <v>322</v>
      </c>
      <c r="E28" s="28">
        <v>462.8329</v>
      </c>
      <c r="F28" s="30">
        <v>362.4301</v>
      </c>
    </row>
    <row r="29" spans="1:6" ht="15">
      <c r="A29" s="26">
        <v>28</v>
      </c>
      <c r="B29" s="1" t="s">
        <v>35</v>
      </c>
      <c r="C29" s="32" t="s">
        <v>35</v>
      </c>
      <c r="D29" s="28">
        <v>180</v>
      </c>
      <c r="E29" s="28">
        <v>546.13</v>
      </c>
      <c r="F29" s="30">
        <v>307.0547</v>
      </c>
    </row>
    <row r="30" spans="1:6" ht="15">
      <c r="A30" s="26">
        <v>29</v>
      </c>
      <c r="B30" s="1" t="s">
        <v>36</v>
      </c>
      <c r="C30" s="32" t="s">
        <v>36</v>
      </c>
      <c r="D30" s="28">
        <v>172</v>
      </c>
      <c r="E30" s="28">
        <v>815.5033999999999</v>
      </c>
      <c r="F30" s="30">
        <v>245.8388</v>
      </c>
    </row>
    <row r="31" spans="1:6" ht="15">
      <c r="A31" s="26">
        <v>30</v>
      </c>
      <c r="B31" s="1" t="s">
        <v>37</v>
      </c>
      <c r="C31" s="32" t="s">
        <v>37</v>
      </c>
      <c r="D31" s="28">
        <v>90</v>
      </c>
      <c r="E31" s="28">
        <v>428.76140000000004</v>
      </c>
      <c r="F31" s="30">
        <v>254.9362</v>
      </c>
    </row>
    <row r="32" spans="1:6" ht="15">
      <c r="A32" s="26">
        <v>31</v>
      </c>
      <c r="B32" s="1" t="s">
        <v>38</v>
      </c>
      <c r="C32" s="32" t="s">
        <v>38</v>
      </c>
      <c r="D32" s="28">
        <v>72</v>
      </c>
      <c r="E32" s="28">
        <v>278.9048</v>
      </c>
      <c r="F32" s="30">
        <v>124.4428</v>
      </c>
    </row>
    <row r="33" spans="1:6" ht="15">
      <c r="A33" s="26">
        <v>32</v>
      </c>
      <c r="B33" s="1" t="s">
        <v>39</v>
      </c>
      <c r="C33" s="32" t="s">
        <v>39</v>
      </c>
      <c r="D33" s="28">
        <v>117</v>
      </c>
      <c r="E33" s="28">
        <v>613.237</v>
      </c>
      <c r="F33" s="30">
        <v>283.138</v>
      </c>
    </row>
    <row r="34" spans="1:6" ht="15">
      <c r="A34" s="26">
        <v>33</v>
      </c>
      <c r="B34" s="1" t="s">
        <v>40</v>
      </c>
      <c r="C34" s="32" t="s">
        <v>40</v>
      </c>
      <c r="D34" s="28">
        <v>85</v>
      </c>
      <c r="E34" s="28">
        <v>243.43970000000002</v>
      </c>
      <c r="F34" s="30">
        <v>233.2318</v>
      </c>
    </row>
    <row r="35" spans="1:6" ht="15">
      <c r="A35" s="26">
        <v>34</v>
      </c>
      <c r="B35" s="1" t="s">
        <v>41</v>
      </c>
      <c r="C35" s="32" t="s">
        <v>41</v>
      </c>
      <c r="D35" s="28">
        <v>152</v>
      </c>
      <c r="E35" s="28">
        <v>327.8474</v>
      </c>
      <c r="F35" s="30">
        <v>171.7771</v>
      </c>
    </row>
    <row r="36" spans="1:6" ht="15">
      <c r="A36" s="26">
        <v>35</v>
      </c>
      <c r="B36" s="1" t="s">
        <v>42</v>
      </c>
      <c r="C36" s="32" t="s">
        <v>42</v>
      </c>
      <c r="D36" s="28">
        <v>185</v>
      </c>
      <c r="E36" s="28">
        <v>549.1156</v>
      </c>
      <c r="F36" s="30">
        <v>273.5749</v>
      </c>
    </row>
    <row r="37" spans="1:6" ht="15">
      <c r="A37" s="26">
        <v>36</v>
      </c>
      <c r="B37" s="1" t="s">
        <v>43</v>
      </c>
      <c r="C37" s="32" t="s">
        <v>43</v>
      </c>
      <c r="D37" s="28">
        <v>161</v>
      </c>
      <c r="E37" s="28">
        <v>606.3569</v>
      </c>
      <c r="F37" s="30">
        <v>292.3475</v>
      </c>
    </row>
    <row r="38" spans="1:6" ht="15">
      <c r="A38" s="26">
        <v>37</v>
      </c>
      <c r="B38" s="1" t="s">
        <v>44</v>
      </c>
      <c r="C38" s="32" t="s">
        <v>44</v>
      </c>
      <c r="D38" s="28">
        <v>175</v>
      </c>
      <c r="E38" s="28">
        <v>338.9312</v>
      </c>
      <c r="F38" s="30">
        <v>215.3342</v>
      </c>
    </row>
    <row r="39" spans="1:6" ht="15">
      <c r="A39" s="26">
        <v>38</v>
      </c>
      <c r="B39" s="1" t="s">
        <v>45</v>
      </c>
      <c r="C39" s="32" t="s">
        <v>45</v>
      </c>
      <c r="D39" s="28">
        <v>171</v>
      </c>
      <c r="E39" s="28">
        <v>680.0173</v>
      </c>
      <c r="F39" s="30">
        <v>258.7055</v>
      </c>
    </row>
    <row r="40" spans="1:6" ht="15">
      <c r="A40" s="26">
        <v>39</v>
      </c>
      <c r="B40" s="1" t="s">
        <v>46</v>
      </c>
      <c r="C40" s="32" t="s">
        <v>46</v>
      </c>
      <c r="D40" s="28">
        <v>126</v>
      </c>
      <c r="E40" s="28">
        <v>391.4261</v>
      </c>
      <c r="F40" s="30">
        <v>248.4179</v>
      </c>
    </row>
    <row r="41" spans="1:6" ht="15">
      <c r="A41" s="26">
        <v>40</v>
      </c>
      <c r="B41" s="1" t="s">
        <v>47</v>
      </c>
      <c r="C41" s="32" t="s">
        <v>47</v>
      </c>
      <c r="D41" s="28">
        <v>283</v>
      </c>
      <c r="E41" s="28">
        <v>858.0417</v>
      </c>
      <c r="F41" s="30">
        <v>507.1527</v>
      </c>
    </row>
    <row r="42" spans="1:6" ht="15">
      <c r="A42" s="26">
        <v>41</v>
      </c>
      <c r="B42" s="1" t="s">
        <v>48</v>
      </c>
      <c r="C42" s="32" t="s">
        <v>48</v>
      </c>
      <c r="D42" s="28">
        <v>67</v>
      </c>
      <c r="E42" s="28">
        <v>216.504</v>
      </c>
      <c r="F42" s="30">
        <v>96.6897</v>
      </c>
    </row>
    <row r="43" spans="1:6" ht="15">
      <c r="A43" s="26">
        <v>42</v>
      </c>
      <c r="B43" s="1" t="s">
        <v>49</v>
      </c>
      <c r="C43" s="32" t="s">
        <v>49</v>
      </c>
      <c r="D43" s="28">
        <v>215</v>
      </c>
      <c r="E43" s="28">
        <v>368.9026</v>
      </c>
      <c r="F43" s="30">
        <v>254.7141</v>
      </c>
    </row>
    <row r="44" spans="1:6" ht="15">
      <c r="A44" s="26">
        <v>43</v>
      </c>
      <c r="B44" s="1" t="s">
        <v>50</v>
      </c>
      <c r="C44" s="32" t="s">
        <v>50</v>
      </c>
      <c r="D44" s="28">
        <v>178</v>
      </c>
      <c r="E44" s="28">
        <v>327.3643</v>
      </c>
      <c r="F44" s="30">
        <v>281.1962</v>
      </c>
    </row>
    <row r="45" spans="1:6" ht="15">
      <c r="A45" s="26">
        <v>44</v>
      </c>
      <c r="B45" s="1" t="s">
        <v>51</v>
      </c>
      <c r="C45" s="32" t="s">
        <v>51</v>
      </c>
      <c r="D45" s="28">
        <v>186</v>
      </c>
      <c r="E45" s="28">
        <v>334.2193</v>
      </c>
      <c r="F45" s="30">
        <v>213.0317</v>
      </c>
    </row>
    <row r="46" spans="1:6" ht="15">
      <c r="A46" s="26">
        <v>45</v>
      </c>
      <c r="B46" s="1" t="s">
        <v>52</v>
      </c>
      <c r="C46" s="32" t="s">
        <v>52</v>
      </c>
      <c r="D46" s="28">
        <v>77</v>
      </c>
      <c r="E46" s="28">
        <v>1182.4341</v>
      </c>
      <c r="F46" s="30">
        <v>363.9733</v>
      </c>
    </row>
    <row r="47" spans="1:6" ht="15">
      <c r="A47" s="27">
        <v>46</v>
      </c>
      <c r="B47" s="10" t="s">
        <v>53</v>
      </c>
      <c r="C47" s="32" t="s">
        <v>53</v>
      </c>
      <c r="D47" s="28">
        <v>95</v>
      </c>
      <c r="E47" s="28">
        <v>515.8389</v>
      </c>
      <c r="F47" s="30">
        <v>253.5917</v>
      </c>
    </row>
    <row r="48" spans="1:6" ht="15">
      <c r="A48" s="26">
        <v>47</v>
      </c>
      <c r="B48" s="10" t="s">
        <v>54</v>
      </c>
      <c r="C48" s="32" t="s">
        <v>54</v>
      </c>
      <c r="D48" s="28">
        <v>172</v>
      </c>
      <c r="E48" s="28">
        <v>387.4335</v>
      </c>
      <c r="F48" s="30">
        <v>178.4614</v>
      </c>
    </row>
    <row r="49" spans="1:6" ht="15">
      <c r="A49" s="26">
        <v>48</v>
      </c>
      <c r="B49" s="1" t="s">
        <v>55</v>
      </c>
      <c r="C49" s="32" t="s">
        <v>55</v>
      </c>
      <c r="D49" s="28">
        <v>160</v>
      </c>
      <c r="E49" s="28">
        <v>510.0153</v>
      </c>
      <c r="F49" s="30">
        <v>366.1412</v>
      </c>
    </row>
    <row r="50" spans="1:6" ht="15">
      <c r="A50" s="26">
        <v>49</v>
      </c>
      <c r="B50" s="1" t="s">
        <v>56</v>
      </c>
      <c r="C50" s="32" t="s">
        <v>56</v>
      </c>
      <c r="D50" s="28">
        <v>139</v>
      </c>
      <c r="E50" s="28">
        <v>320.9915</v>
      </c>
      <c r="F50" s="30">
        <v>252.813</v>
      </c>
    </row>
    <row r="51" spans="1:6" ht="15">
      <c r="A51" s="26">
        <v>50</v>
      </c>
      <c r="B51" s="1" t="s">
        <v>57</v>
      </c>
      <c r="C51" s="32" t="s">
        <v>57</v>
      </c>
      <c r="D51" s="28">
        <v>108</v>
      </c>
      <c r="E51" s="28">
        <v>173.5231</v>
      </c>
      <c r="F51" s="30">
        <v>131.1745</v>
      </c>
    </row>
    <row r="52" spans="1:2" ht="15">
      <c r="A52" s="29"/>
      <c r="B52" s="16" t="s">
        <v>58</v>
      </c>
    </row>
  </sheetData>
  <sheetProtection/>
  <hyperlinks>
    <hyperlink ref="C2" r:id="rId1" display="Alirajpur"/>
    <hyperlink ref="C3" r:id="rId2" display="Anuppur"/>
    <hyperlink ref="C4" r:id="rId3" display="Ashok Nagar"/>
    <hyperlink ref="C5" r:id="rId4" display="Balaghat"/>
    <hyperlink ref="C6" r:id="rId5" display="Barwani"/>
    <hyperlink ref="C7" r:id="rId6" display="Betul"/>
    <hyperlink ref="C8" r:id="rId7" display="Bhind"/>
    <hyperlink ref="C9" r:id="rId8" display="Bhopal"/>
    <hyperlink ref="C10" r:id="rId9" display="Burhanpur"/>
    <hyperlink ref="C11" r:id="rId10" display="Chhatarpur"/>
    <hyperlink ref="C12" r:id="rId11" display="Chhindwara"/>
    <hyperlink ref="C13" r:id="rId12" display="Damoh"/>
    <hyperlink ref="C14" r:id="rId13" display="Datia"/>
    <hyperlink ref="C15" r:id="rId14" display="Dewas"/>
    <hyperlink ref="C16" r:id="rId15" display="Dhar"/>
    <hyperlink ref="C17" r:id="rId16" display="Dindori"/>
    <hyperlink ref="C18" r:id="rId17" display="Guna"/>
    <hyperlink ref="C19" r:id="rId18" display="Gwalior"/>
    <hyperlink ref="C20" r:id="rId19" display="Harda"/>
    <hyperlink ref="C21" r:id="rId20" display="Hoshangabad"/>
    <hyperlink ref="C22" r:id="rId21" display="Indore"/>
    <hyperlink ref="C23" r:id="rId22" display="Jabalpur"/>
    <hyperlink ref="C24" r:id="rId23" display="Jhabua"/>
    <hyperlink ref="C25" r:id="rId24" display="Katni"/>
    <hyperlink ref="C26" r:id="rId25" display="Khandwa"/>
    <hyperlink ref="C27" r:id="rId26" display="Khargone"/>
    <hyperlink ref="C28" r:id="rId27" display="Mandla"/>
    <hyperlink ref="C29" r:id="rId28" display="Mandsour"/>
    <hyperlink ref="C30" r:id="rId29" display="Morena"/>
    <hyperlink ref="C31" r:id="rId30" display="Narsighpur"/>
    <hyperlink ref="C32" r:id="rId31" display="Neemuch"/>
    <hyperlink ref="C33" r:id="rId32" display="Panna"/>
    <hyperlink ref="C34" r:id="rId33" display="Raisen"/>
    <hyperlink ref="C35" r:id="rId34" display="Rajgarh"/>
    <hyperlink ref="C36" r:id="rId35" display="Ratlam"/>
    <hyperlink ref="C37" r:id="rId36" display="Rewa"/>
    <hyperlink ref="C38" r:id="rId37" display="Sagar"/>
    <hyperlink ref="C39" r:id="rId38" display="Satna"/>
    <hyperlink ref="C40" r:id="rId39" display="Sehore"/>
    <hyperlink ref="C41" r:id="rId40" display="Seoni"/>
    <hyperlink ref="C42" r:id="rId41" display="Seopur"/>
    <hyperlink ref="C43" r:id="rId42" display="Shahdol"/>
    <hyperlink ref="C44" r:id="rId43" display="Shajapur"/>
    <hyperlink ref="C45" r:id="rId44" display="Shivpuri"/>
    <hyperlink ref="C46" r:id="rId45" display="Sidhi"/>
    <hyperlink ref="C47" r:id="rId46" display="Singrauli"/>
    <hyperlink ref="C48" r:id="rId47" display="Tikamgarh"/>
    <hyperlink ref="C49" r:id="rId48" display="Ujjain"/>
    <hyperlink ref="C50" r:id="rId49" display="Umria"/>
    <hyperlink ref="C51" r:id="rId50" display="Vidish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Akash Dubey</cp:lastModifiedBy>
  <cp:lastPrinted>2015-10-21T07:52:11Z</cp:lastPrinted>
  <dcterms:created xsi:type="dcterms:W3CDTF">2014-11-21T10:43:01Z</dcterms:created>
  <dcterms:modified xsi:type="dcterms:W3CDTF">2015-10-30T07:29:00Z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